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Haleema1/Desktop/Aston/"/>
    </mc:Choice>
  </mc:AlternateContent>
  <xr:revisionPtr revIDLastSave="0" documentId="13_ncr:1_{9706D84E-5684-7442-BE7B-7B467CB72D5D}" xr6:coauthVersionLast="47" xr6:coauthVersionMax="47" xr10:uidLastSave="{00000000-0000-0000-0000-000000000000}"/>
  <bookViews>
    <workbookView xWindow="0" yWindow="720" windowWidth="14580" windowHeight="184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3" l="1"/>
  <c r="D80" i="3"/>
  <c r="E80" i="3"/>
  <c r="E79" i="3"/>
  <c r="D79" i="3"/>
  <c r="C79" i="3"/>
  <c r="E78" i="3"/>
  <c r="D78" i="3"/>
  <c r="C78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D66" i="3"/>
  <c r="C66" i="3"/>
  <c r="D65" i="3"/>
  <c r="C65" i="3"/>
  <c r="D64" i="3"/>
  <c r="C64" i="3"/>
  <c r="D61" i="3"/>
  <c r="C61" i="3"/>
  <c r="D60" i="3"/>
  <c r="C60" i="3"/>
  <c r="D59" i="3"/>
  <c r="C59" i="3"/>
  <c r="D56" i="3"/>
  <c r="C56" i="3"/>
  <c r="D55" i="3"/>
  <c r="C55" i="3"/>
  <c r="D54" i="3"/>
  <c r="C54" i="3"/>
  <c r="E51" i="3"/>
  <c r="E50" i="3"/>
  <c r="E49" i="3"/>
  <c r="E48" i="3"/>
  <c r="E47" i="3"/>
  <c r="E46" i="3"/>
  <c r="E44" i="3"/>
  <c r="E45" i="3"/>
  <c r="E43" i="3"/>
  <c r="E42" i="3"/>
  <c r="E41" i="3"/>
  <c r="E40" i="3"/>
  <c r="E34" i="3"/>
  <c r="E35" i="3"/>
  <c r="E36" i="3"/>
  <c r="E37" i="3"/>
  <c r="E30" i="3"/>
  <c r="E31" i="3"/>
  <c r="E29" i="3"/>
  <c r="E28" i="3"/>
  <c r="E27" i="3"/>
  <c r="E26" i="3"/>
  <c r="E25" i="3"/>
  <c r="E22" i="3"/>
  <c r="E20" i="3"/>
  <c r="E21" i="3"/>
  <c r="E18" i="3"/>
  <c r="E19" i="3"/>
  <c r="E17" i="3"/>
  <c r="E13" i="3"/>
  <c r="E14" i="3"/>
  <c r="E12" i="3"/>
  <c r="E11" i="3"/>
  <c r="E10" i="3"/>
  <c r="E9" i="3"/>
  <c r="E8" i="3"/>
  <c r="E7" i="3"/>
  <c r="E6" i="3"/>
  <c r="E5" i="3"/>
  <c r="D50" i="3"/>
  <c r="D51" i="3"/>
  <c r="D48" i="3"/>
  <c r="D47" i="3"/>
  <c r="D46" i="3"/>
  <c r="D44" i="3"/>
  <c r="D45" i="3"/>
  <c r="D43" i="3"/>
  <c r="D42" i="3"/>
  <c r="D40" i="3"/>
  <c r="D37" i="3"/>
  <c r="D36" i="3"/>
  <c r="D35" i="3"/>
  <c r="D34" i="3"/>
  <c r="D30" i="3"/>
  <c r="D31" i="3"/>
  <c r="D29" i="3"/>
  <c r="D28" i="3"/>
  <c r="D27" i="3"/>
  <c r="D26" i="3"/>
  <c r="D25" i="3"/>
  <c r="D22" i="3"/>
  <c r="D20" i="3"/>
  <c r="D21" i="3"/>
  <c r="D19" i="3"/>
  <c r="D18" i="3"/>
  <c r="D17" i="3"/>
  <c r="D13" i="3"/>
  <c r="D12" i="3"/>
  <c r="D11" i="3"/>
  <c r="D10" i="3"/>
  <c r="D9" i="3"/>
  <c r="D8" i="3"/>
  <c r="D7" i="3"/>
  <c r="D6" i="3"/>
  <c r="D5" i="3"/>
  <c r="C50" i="3"/>
  <c r="C51" i="3"/>
  <c r="C46" i="3"/>
  <c r="C44" i="3"/>
  <c r="C45" i="3"/>
  <c r="C43" i="3"/>
  <c r="C42" i="3"/>
  <c r="C40" i="3"/>
  <c r="C49" i="3"/>
  <c r="C48" i="3"/>
  <c r="C47" i="3"/>
  <c r="C41" i="3"/>
  <c r="C22" i="3"/>
  <c r="C18" i="3"/>
  <c r="C20" i="3"/>
  <c r="C37" i="3"/>
  <c r="C36" i="3"/>
  <c r="C35" i="3"/>
  <c r="C34" i="3"/>
  <c r="C30" i="3"/>
  <c r="C29" i="3"/>
  <c r="C28" i="3"/>
  <c r="C27" i="3"/>
  <c r="C26" i="3"/>
  <c r="C25" i="3"/>
  <c r="C21" i="3"/>
  <c r="C19" i="3"/>
  <c r="C17" i="3"/>
  <c r="C13" i="3"/>
  <c r="C14" i="3"/>
  <c r="C12" i="3"/>
  <c r="C11" i="3"/>
  <c r="C10" i="3"/>
  <c r="C9" i="3"/>
  <c r="C8" i="3"/>
  <c r="C6" i="3"/>
  <c r="C5" i="3"/>
  <c r="C7" i="3"/>
  <c r="C4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<sst xmlns="http://schemas.openxmlformats.org/spreadsheetml/2006/main" count="194" uniqueCount="169">
  <si>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</si>
  <si>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</si>
  <si>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</si>
  <si>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</si>
  <si>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</si>
  <si>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</si>
  <si>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</si>
  <si>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</si>
  <si>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</si>
  <si>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</si>
  <si>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</si>
  <si>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</si>
  <si>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</si>
  <si>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</si>
  <si>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</si>
  <si>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</si>
  <si>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</si>
  <si>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</si>
  <si>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</si>
  <si>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</si>
  <si>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</si>
  <si>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</si>
  <si>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</si>
  <si>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</si>
  <si>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</si>
  <si>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</si>
  <si>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</si>
  <si>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</si>
  <si>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</si>
  <si>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</si>
  <si>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</si>
  <si>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</si>
  <si>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</si>
  <si>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</si>
  <si>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</si>
  <si>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</si>
  <si>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</si>
  <si>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</si>
  <si>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</si>
  <si>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</si>
  <si>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</si>
  <si>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</si>
  <si>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</si>
  <si>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</si>
  <si>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</si>
  <si>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</si>
  <si>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</si>
  <si>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</si>
  <si>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</si>
  <si>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</si>
  <si>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</si>
  <si>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</si>
  <si>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</si>
  <si>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</si>
  <si>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</si>
  <si>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</si>
  <si>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</si>
  <si>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</si>
  <si>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</si>
  <si>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</si>
  <si>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</si>
  <si>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</si>
  <si>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</si>
  <si>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</si>
  <si>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</si>
  <si>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</si>
  <si>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</si>
  <si>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</si>
  <si>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</si>
  <si>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</si>
  <si>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</si>
  <si>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</si>
  <si>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</si>
  <si>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</si>
  <si>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</si>
  <si>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</si>
  <si>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</si>
  <si>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</si>
  <si>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</si>
  <si>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</si>
  <si>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</si>
  <si>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</si>
  <si>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</si>
  <si>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</si>
  <si>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</si>
  <si>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</si>
  <si>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</si>
  <si>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</si>
  <si>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</si>
  <si>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</si>
  <si>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</si>
  <si>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</si>
  <si>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</si>
  <si>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</si>
  <si>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</si>
  <si>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</si>
  <si>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</si>
  <si>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</si>
  <si>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</si>
  <si>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</si>
  <si>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</si>
  <si>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</si>
  <si>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</si>
  <si>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</si>
  <si>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</si>
  <si>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</si>
  <si>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</si>
  <si>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</si>
  <si>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</si>
  <si>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</si>
  <si>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</si>
  <si>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</si>
  <si>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</si>
  <si>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</si>
  <si>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</si>
  <si>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</si>
  <si>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</si>
  <si>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</si>
  <si>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</si>
  <si>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</si>
  <si>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</si>
  <si>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</si>
  <si>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</si>
  <si>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</si>
  <si>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</si>
  <si>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</si>
  <si>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</si>
  <si>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</si>
  <si>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</si>
  <si>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</si>
  <si>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</si>
  <si>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</si>
  <si>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</si>
  <si>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</si>
  <si>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</si>
  <si>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</si>
  <si>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</si>
  <si>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</si>
  <si>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</si>
  <si>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</si>
  <si>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</si>
  <si>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</si>
  <si>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</si>
  <si>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</si>
  <si>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</si>
  <si>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</si>
  <si>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</si>
  <si>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</si>
  <si>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</si>
  <si>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Sales growth rate </t>
  </si>
  <si>
    <t xml:space="preserve">Net sales </t>
  </si>
  <si>
    <t xml:space="preserve">Product sales </t>
  </si>
  <si>
    <t>Service sales</t>
  </si>
  <si>
    <t xml:space="preserve">Gross profit growth rate </t>
  </si>
  <si>
    <t xml:space="preserve">Gross profit </t>
  </si>
  <si>
    <t xml:space="preserve">Research and devlopment </t>
  </si>
  <si>
    <t xml:space="preserve">Selling, general and adminisrative </t>
  </si>
  <si>
    <t xml:space="preserve">Blance sheet main line items growth rate </t>
  </si>
  <si>
    <t xml:space="preserve">Total assets </t>
  </si>
  <si>
    <t xml:space="preserve">Total liabilities </t>
  </si>
  <si>
    <t>Total shareholders' equity</t>
  </si>
  <si>
    <t>COGS</t>
  </si>
  <si>
    <t xml:space="preserve">Gross profits </t>
  </si>
  <si>
    <t xml:space="preserve">Research and development </t>
  </si>
  <si>
    <t>Selling, general and administritive</t>
  </si>
  <si>
    <t xml:space="preserve">Operating income </t>
  </si>
  <si>
    <t xml:space="preserve">Interest tax Rate </t>
  </si>
  <si>
    <t xml:space="preserve">Capex as a percentage of sales </t>
  </si>
  <si>
    <t xml:space="preserve">capex as a perecenatge of fixed assets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</si>
</sst>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8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zoomScale="156" workbookViewId="0">
      <selection activeCell="A27" sqref="A27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147</v>
      </c>
    </row>
    <row r="7" spans="1:1" x14ac:dyDescent="0.2">
      <c r="A7" s="1"/>
    </row>
    <row r="8" spans="1:1" x14ac:dyDescent="0.2">
      <c r="A8" s="17" t="s">
        <v>148</v>
      </c>
    </row>
    <row r="9" spans="1:1" x14ac:dyDescent="0.2">
      <c r="A9" s="1" t="s">
        <v>144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145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143</v>
      </c>
    </row>
    <row r="27" spans="1:1" x14ac:dyDescent="0.2">
      <c r="A27" s="16"/>
    </row>
    <row r="29" spans="1:1" x14ac:dyDescent="0.2">
      <c r="A29" s="7" t="s">
        <v>146</v>
      </c>
    </row>
  </sheetData>
  <hyperlinks>
    <hyperlink ref="A4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zoomScale="117" workbookViewId="0">
      <selection activeCell="A73" sqref="A73"/>
    </sheetView>
  </sheetViews>
  <sheetFormatPr baseColWidth="10" defaultColWidth="8.83203125" defaultRowHeight="15" x14ac:dyDescent="0.2"/>
  <cols>
    <col min="1" max="1" width="66.1640625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4" t="s">
        <v>1</v>
      </c>
      <c r="B2" s="24"/>
      <c r="C2" s="24"/>
      <c r="D2" s="24"/>
    </row>
    <row r="3" spans="1:10" x14ac:dyDescent="0.2">
      <c r="B3" s="23" t="s">
        <v>23</v>
      </c>
      <c r="C3" s="23"/>
      <c r="D3" s="23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4" t="s">
        <v>24</v>
      </c>
      <c r="B31" s="24"/>
      <c r="C31" s="24"/>
      <c r="D31" s="24"/>
    </row>
    <row r="32" spans="1:4" x14ac:dyDescent="0.2">
      <c r="B32" s="23" t="s">
        <v>142</v>
      </c>
      <c r="C32" s="23"/>
      <c r="D32" s="23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4" t="s">
        <v>55</v>
      </c>
      <c r="B71" s="24"/>
      <c r="C71" s="24"/>
      <c r="D71" s="24"/>
    </row>
    <row r="72" spans="1:4" x14ac:dyDescent="0.2">
      <c r="B72" s="23" t="s">
        <v>23</v>
      </c>
      <c r="C72" s="23"/>
      <c r="D72" s="23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0"/>
  <sheetViews>
    <sheetView tabSelected="1" topLeftCell="A43" zoomScale="135" workbookViewId="0">
      <selection activeCell="C81" sqref="C81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2.6640625" bestFit="1" customWidth="1"/>
    <col min="5" max="5" width="11.832031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3" t="s">
        <v>23</v>
      </c>
      <c r="D2" s="23"/>
      <c r="E2" s="23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  <c r="C4">
        <f>135405/135405</f>
        <v>1</v>
      </c>
    </row>
    <row r="5" spans="1:10" x14ac:dyDescent="0.2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134836/125481</f>
        <v>1.0745531195957954</v>
      </c>
      <c r="E5">
        <f>'Financial Statements'!D48/'Financial Statements'!D56</f>
        <v>3.0731744344921816</v>
      </c>
    </row>
    <row r="6" spans="1:10" x14ac:dyDescent="0.2">
      <c r="A6" s="18">
        <f t="shared" ref="A6:A13" si="0">+A5+0.1</f>
        <v>1.2000000000000002</v>
      </c>
      <c r="B6" s="1" t="s">
        <v>101</v>
      </c>
      <c r="C6">
        <f>('Financial Statements'!B42-'Financial Statements'!B85)/'Financial Statements'!B56</f>
        <v>0.86971853853047754</v>
      </c>
      <c r="D6">
        <f>(134836-6580)/125481</f>
        <v>1.0221149018576519</v>
      </c>
      <c r="E6">
        <f>('Financial Statements'!D42-'Financial Statements'!D39)/'Financial Statements'!D56</f>
        <v>1.325072111735236</v>
      </c>
    </row>
    <row r="7" spans="1:10" x14ac:dyDescent="0.2">
      <c r="A7" s="18">
        <f t="shared" si="0"/>
        <v>1.3000000000000003</v>
      </c>
      <c r="B7" s="1" t="s">
        <v>102</v>
      </c>
      <c r="C7">
        <f>'Financial Statements'!B36/'Financial Statements'!B56</f>
        <v>0.15356340351469652</v>
      </c>
      <c r="D7">
        <f>(34940+27699)/125481</f>
        <v>0.49919111259872012</v>
      </c>
      <c r="E7">
        <f>38016/'Financial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>
        <f>('Financial Statements'!B42-'Financial Statements'!B85)/140.67</f>
        <v>952.0224639226559</v>
      </c>
      <c r="D8">
        <f>88917/120.22</f>
        <v>739.61903177507907</v>
      </c>
      <c r="E8">
        <f>90943/46495*100</f>
        <v>195.59737606194213</v>
      </c>
    </row>
    <row r="9" spans="1:10" x14ac:dyDescent="0.2">
      <c r="A9" s="18">
        <f t="shared" si="0"/>
        <v>1.5000000000000004</v>
      </c>
      <c r="B9" s="1" t="s">
        <v>104</v>
      </c>
      <c r="C9">
        <f>3215/'Financial Statements'!B12*365</f>
        <v>5.2493670206579406</v>
      </c>
      <c r="D9">
        <f>6580/212981*365</f>
        <v>11.27659274770989</v>
      </c>
      <c r="E9">
        <f>'Financial Statements'!D39/'Financial Statements'!D12*365</f>
        <v>8.7418833562358831</v>
      </c>
    </row>
    <row r="10" spans="1:10" x14ac:dyDescent="0.2">
      <c r="A10" s="18">
        <f t="shared" si="0"/>
        <v>1.6000000000000005</v>
      </c>
      <c r="B10" s="1" t="s">
        <v>105</v>
      </c>
      <c r="C10">
        <f>(36781.5/'Financial Statements'!B12)*365</f>
        <v>60.055860986105763</v>
      </c>
      <c r="D10">
        <f>54763/212981*365</f>
        <v>93.851071222315596</v>
      </c>
      <c r="E10">
        <f>'Financial Statements'!D51/'Financial Statements'!D12*365</f>
        <v>91.048189715674198</v>
      </c>
    </row>
    <row r="11" spans="1:10" x14ac:dyDescent="0.2">
      <c r="A11" s="18">
        <f t="shared" si="0"/>
        <v>1.7000000000000006</v>
      </c>
      <c r="B11" s="1" t="s">
        <v>106</v>
      </c>
      <c r="C11">
        <f>(15003.5/'Financial Statements'!B8)*365</f>
        <v>13.887620204499809</v>
      </c>
      <c r="D11">
        <f>26278/365817*365</f>
        <v>26.219311841713207</v>
      </c>
      <c r="E11">
        <f>'Financial Statements'!D38/'Financial Statements'!D8*365</f>
        <v>21.433437152796749</v>
      </c>
    </row>
    <row r="12" spans="1:10" x14ac:dyDescent="0.2">
      <c r="A12" s="18">
        <f t="shared" si="0"/>
        <v>1.8000000000000007</v>
      </c>
      <c r="B12" s="1" t="s">
        <v>107</v>
      </c>
      <c r="C12">
        <f>3215+15003.5-36781.5</f>
        <v>-18563</v>
      </c>
      <c r="D12">
        <f>D9+D11-D10</f>
        <v>-56.355166632892498</v>
      </c>
      <c r="E12">
        <f>E9+E11-E10</f>
        <v>-60.872869206641568</v>
      </c>
    </row>
    <row r="13" spans="1:10" x14ac:dyDescent="0.2">
      <c r="A13" s="18">
        <f t="shared" si="0"/>
        <v>1.9000000000000008</v>
      </c>
      <c r="B13" s="1" t="s">
        <v>108</v>
      </c>
      <c r="C13">
        <f>('List of Ratios'!C14/'Financial Statements'!B8)*100</f>
        <v>-4.7110527276784806</v>
      </c>
      <c r="D13">
        <f>9355/365817*100</f>
        <v>2.5572895737486232</v>
      </c>
      <c r="E13">
        <f>E14/'Financial Statements'!D8*100</f>
        <v>13.959528623208204</v>
      </c>
    </row>
    <row r="14" spans="1:10" x14ac:dyDescent="0.2">
      <c r="A14" s="18"/>
      <c r="B14" s="3" t="s">
        <v>109</v>
      </c>
      <c r="C14">
        <f>'Financial Statements'!B42-'Financial Statements'!B56</f>
        <v>-18577</v>
      </c>
      <c r="D14">
        <v>9355</v>
      </c>
      <c r="E14">
        <f>'Financial Statements'!D42-'Financial Statements'!D56</f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5" x14ac:dyDescent="0.2">
      <c r="A17" s="18">
        <f>+A16+0.1</f>
        <v>2.1</v>
      </c>
      <c r="B17" s="1" t="s">
        <v>9</v>
      </c>
      <c r="C17">
        <f>'Financial Statements'!B13</f>
        <v>170782</v>
      </c>
      <c r="D17">
        <f>152836/365817*100</f>
        <v>41.779359625167778</v>
      </c>
      <c r="E17">
        <f>104956/'Financial Statements'!D8*100</f>
        <v>38.233247727810863</v>
      </c>
    </row>
    <row r="18" spans="1:5" x14ac:dyDescent="0.2">
      <c r="A18" s="18">
        <f>+A17+0.1</f>
        <v>2.2000000000000002</v>
      </c>
      <c r="B18" s="1" t="s">
        <v>111</v>
      </c>
      <c r="C18">
        <f>130541/394328*100</f>
        <v>33.104674281308959</v>
      </c>
      <c r="D18">
        <f>128139/365817*100</f>
        <v>35.028169822616228</v>
      </c>
      <c r="E18">
        <f>E19/'Financial Statements'!D8*100</f>
        <v>28.174780977360069</v>
      </c>
    </row>
    <row r="19" spans="1:5" x14ac:dyDescent="0.2">
      <c r="A19" s="18"/>
      <c r="B19" s="3" t="s">
        <v>112</v>
      </c>
      <c r="C19">
        <f>'Financial Statements'!B18+'Financial Statements'!B79</f>
        <v>130541</v>
      </c>
      <c r="D19">
        <f>108949+11248+7906</f>
        <v>128103</v>
      </c>
      <c r="E19">
        <f>'Financial Statements'!D18+'Financial Statements'!D79</f>
        <v>77344</v>
      </c>
    </row>
    <row r="20" spans="1:5" x14ac:dyDescent="0.2">
      <c r="A20" s="18">
        <f>+A18+0.1</f>
        <v>2.3000000000000003</v>
      </c>
      <c r="B20" s="1" t="s">
        <v>113</v>
      </c>
      <c r="C20">
        <f>119437/394328*100</f>
        <v>30.288744395528592</v>
      </c>
      <c r="D20">
        <f>D21/365817*100</f>
        <v>29.782377527561593</v>
      </c>
      <c r="E20">
        <f>E21/'Financial Statements'!D8*100</f>
        <v>24.147314354406863</v>
      </c>
    </row>
    <row r="21" spans="1:5" x14ac:dyDescent="0.2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</row>
    <row r="22" spans="1:5" x14ac:dyDescent="0.2">
      <c r="A22" s="18">
        <f>+A20+0.1</f>
        <v>2.4000000000000004</v>
      </c>
      <c r="B22" s="1" t="s">
        <v>115</v>
      </c>
      <c r="C22">
        <f>99803/394328*100</f>
        <v>25.309640705199733</v>
      </c>
      <c r="D22">
        <f>'Financial Statements'!C22/'Financial Statements'!C8</f>
        <v>0.25881793355694238</v>
      </c>
      <c r="E22">
        <f>57411/'Financial Statements'!D8*100</f>
        <v>20.913611278072235</v>
      </c>
    </row>
    <row r="23" spans="1:5" x14ac:dyDescent="0.2">
      <c r="A23" s="18"/>
    </row>
    <row r="24" spans="1:5" x14ac:dyDescent="0.2">
      <c r="A24" s="18">
        <f>+A16+1</f>
        <v>3</v>
      </c>
      <c r="B24" s="7" t="s">
        <v>116</v>
      </c>
    </row>
    <row r="25" spans="1:5" x14ac:dyDescent="0.2">
      <c r="A25" s="18">
        <f>+A24+0.1</f>
        <v>3.1</v>
      </c>
      <c r="B25" s="1" t="s">
        <v>117</v>
      </c>
      <c r="C25">
        <f>'Financial Statements'!B62/'Financial Statements'!B68</f>
        <v>5.9615369434796337</v>
      </c>
      <c r="D25">
        <f>118719/63090</f>
        <v>1.8817403708987162</v>
      </c>
      <c r="E25">
        <f>'Financial Statements'!D62/'Financial Statements'!D68</f>
        <v>3.9570394404566951</v>
      </c>
    </row>
    <row r="26" spans="1:5" x14ac:dyDescent="0.2">
      <c r="A26" s="18">
        <f t="shared" ref="A26:A30" si="1">+A25+0.1</f>
        <v>3.2</v>
      </c>
      <c r="B26" s="1" t="s">
        <v>118</v>
      </c>
      <c r="C26">
        <f>'Financial Statements'!B62/'Financial Statements'!B48</f>
        <v>0.85635355983614692</v>
      </c>
      <c r="D26">
        <f>118719/351002*100</f>
        <v>33.822884200090023</v>
      </c>
      <c r="E26">
        <f>'Financial Statements'!D62/'Financial Statements'!D48</f>
        <v>0.79826668477992391</v>
      </c>
    </row>
    <row r="27" spans="1:5" x14ac:dyDescent="0.2">
      <c r="A27" s="18">
        <f t="shared" si="1"/>
        <v>3.3000000000000003</v>
      </c>
      <c r="B27" s="1" t="s">
        <v>119</v>
      </c>
      <c r="C27">
        <f>'Financial Statements'!B59/149631</f>
        <v>0.66135359651409131</v>
      </c>
      <c r="D27">
        <f>109106/(109106+63090)*100</f>
        <v>63.361518269878516</v>
      </c>
      <c r="E27">
        <f>'Financial Statements'!D59/('Financial Statements'!D59+'Financial Statements'!D68)</f>
        <v>0.60160603880345842</v>
      </c>
    </row>
    <row r="28" spans="1:5" x14ac:dyDescent="0.2">
      <c r="A28" s="18">
        <f t="shared" si="1"/>
        <v>3.4000000000000004</v>
      </c>
      <c r="B28" s="1" t="s">
        <v>120</v>
      </c>
      <c r="C28">
        <f>C21/'Financial Statements'!B114</f>
        <v>41.68830715532286</v>
      </c>
      <c r="D28">
        <f>108949/2687</f>
        <v>40.546706363974693</v>
      </c>
      <c r="E28">
        <f>E21/'Financial Statements'!D114</f>
        <v>22.081279147235175</v>
      </c>
    </row>
    <row r="29" spans="1:5" x14ac:dyDescent="0.2">
      <c r="A29" s="18">
        <f t="shared" si="1"/>
        <v>3.5000000000000004</v>
      </c>
      <c r="B29" s="1" t="s">
        <v>121</v>
      </c>
      <c r="C29">
        <f>C19/12408</f>
        <v>10.520712443584785</v>
      </c>
      <c r="D29">
        <f>104038/118791</f>
        <v>0.8758070897626925</v>
      </c>
      <c r="E29">
        <f>E19/('Financial Statements'!D55+'Financial Statements'!D59)</f>
        <v>0.71988086373790028</v>
      </c>
    </row>
    <row r="30" spans="1:5" x14ac:dyDescent="0.2">
      <c r="A30" s="18">
        <f t="shared" si="1"/>
        <v>3.6000000000000005</v>
      </c>
      <c r="B30" s="1" t="s">
        <v>122</v>
      </c>
      <c r="C30">
        <f>111443/16215963</f>
        <v>6.8724256462597997E-3</v>
      </c>
      <c r="D30">
        <f>D31/16701.272</f>
        <v>6.2622176322857319</v>
      </c>
      <c r="E30">
        <f>14280/17352.119*1000</f>
        <v>822.95424553047394</v>
      </c>
    </row>
    <row r="31" spans="1:5" x14ac:dyDescent="0.2">
      <c r="A31" s="18"/>
      <c r="B31" s="3" t="s">
        <v>123</v>
      </c>
      <c r="C31" s="2">
        <v>108395</v>
      </c>
      <c r="D31">
        <f>104038-11085+11634</f>
        <v>104587</v>
      </c>
      <c r="E31">
        <f>57411-7309-38321+2499</f>
        <v>14280</v>
      </c>
    </row>
    <row r="32" spans="1:5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>
        <f>394328/351878.5</f>
        <v>1.1206368107173357</v>
      </c>
      <c r="D34">
        <f>365817/351002</f>
        <v>1.0422077367080529</v>
      </c>
      <c r="E34">
        <f>'Financial Statements'!D8/'Financial Statements'!D48</f>
        <v>0.84756150274168851</v>
      </c>
    </row>
    <row r="35" spans="1:5" x14ac:dyDescent="0.2">
      <c r="A35" s="18">
        <f t="shared" ref="A35:A37" si="2">+A34+0.1</f>
        <v>4.1999999999999993</v>
      </c>
      <c r="B35" s="1" t="s">
        <v>126</v>
      </c>
      <c r="C35">
        <f>394328/40778.5</f>
        <v>9.6699976703409884</v>
      </c>
      <c r="D35">
        <f>365817/39440</f>
        <v>9.2752789046653152</v>
      </c>
      <c r="E35">
        <f>'Financial Statements'!D8/36766</f>
        <v>7.4665451776097482</v>
      </c>
    </row>
    <row r="36" spans="1:5" x14ac:dyDescent="0.2">
      <c r="A36" s="18">
        <f t="shared" si="2"/>
        <v>4.2999999999999989</v>
      </c>
      <c r="B36" s="1" t="s">
        <v>127</v>
      </c>
      <c r="C36">
        <f>223546/5763</f>
        <v>38.789866389033492</v>
      </c>
      <c r="D36">
        <f>212981/5320.5</f>
        <v>40.030260313880277</v>
      </c>
      <c r="E36">
        <f>'Financial Statements'!D12/4199</f>
        <v>40.380804953560371</v>
      </c>
    </row>
    <row r="37" spans="1:5" x14ac:dyDescent="0.2">
      <c r="A37" s="18">
        <f t="shared" si="2"/>
        <v>4.3999999999999986</v>
      </c>
      <c r="B37" s="1" t="s">
        <v>128</v>
      </c>
      <c r="C37">
        <f>99803/351878.5</f>
        <v>0.28362915040276687</v>
      </c>
      <c r="D37">
        <f>94680/351002</f>
        <v>0.26974205275183616</v>
      </c>
      <c r="E37">
        <f>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>
        <f>136.84/6.11</f>
        <v>22.396072013093288</v>
      </c>
      <c r="D40">
        <f>177.82/5.61</f>
        <v>31.696969696969695</v>
      </c>
      <c r="E40">
        <f>122.11/3.31</f>
        <v>36.891238670694861</v>
      </c>
    </row>
    <row r="41" spans="1:5" x14ac:dyDescent="0.2">
      <c r="A41" s="18">
        <f t="shared" ref="A41:A44" si="3">+A40+0.1</f>
        <v>5.1999999999999993</v>
      </c>
      <c r="B41" s="3" t="s">
        <v>131</v>
      </c>
      <c r="C41">
        <f>99803/16215953</f>
        <v>6.1546182330449528E-3</v>
      </c>
      <c r="D41">
        <v>5.61</v>
      </c>
      <c r="E41">
        <f>57411/17352119000</f>
        <v>3.3085872682177895E-6</v>
      </c>
    </row>
    <row r="42" spans="1:5" x14ac:dyDescent="0.2">
      <c r="A42" s="18">
        <f t="shared" si="3"/>
        <v>5.2999999999999989</v>
      </c>
      <c r="B42" s="1" t="s">
        <v>132</v>
      </c>
      <c r="C42">
        <f>136.84/11.41</f>
        <v>11.99298860648554</v>
      </c>
      <c r="D42">
        <f>177.82/13.26</f>
        <v>13.410256410256411</v>
      </c>
      <c r="E42">
        <f>122.11/E43/100</f>
        <v>32428.82889376942</v>
      </c>
    </row>
    <row r="43" spans="1:5" x14ac:dyDescent="0.2">
      <c r="A43" s="18">
        <f t="shared" si="3"/>
        <v>5.3999999999999986</v>
      </c>
      <c r="B43" s="3" t="s">
        <v>133</v>
      </c>
      <c r="C43">
        <f>50672/4443.236</f>
        <v>11.404300829395513</v>
      </c>
      <c r="D43">
        <f>63090000000/4754986000</f>
        <v>13.268177866349133</v>
      </c>
      <c r="E43">
        <f>65339/1735211900</f>
        <v>3.7654767120949319E-5</v>
      </c>
    </row>
    <row r="44" spans="1:5" x14ac:dyDescent="0.2">
      <c r="A44" s="18">
        <f t="shared" si="3"/>
        <v>5.4999999999999982</v>
      </c>
      <c r="B44" s="1" t="s">
        <v>134</v>
      </c>
      <c r="C44">
        <f>C45/C41</f>
        <v>542.70355296428147</v>
      </c>
      <c r="D44">
        <f>D45/D41</f>
        <v>0.54233343248284616</v>
      </c>
      <c r="E44">
        <f>0.81/3.31</f>
        <v>0.24471299093655591</v>
      </c>
    </row>
    <row r="45" spans="1:5" x14ac:dyDescent="0.2">
      <c r="A45" s="18"/>
      <c r="B45" s="3" t="s">
        <v>135</v>
      </c>
      <c r="C45">
        <f>14841/4443.236</f>
        <v>3.3401331822122438</v>
      </c>
      <c r="D45">
        <f>14467000000/4754986000</f>
        <v>3.042490556228767</v>
      </c>
      <c r="E45">
        <f>14081/17352119000</f>
        <v>8.1148590555424382E-7</v>
      </c>
    </row>
    <row r="46" spans="1:5" x14ac:dyDescent="0.2">
      <c r="A46" s="18">
        <f>+A44+0.1</f>
        <v>5.5999999999999979</v>
      </c>
      <c r="B46" s="1" t="s">
        <v>136</v>
      </c>
      <c r="C46">
        <f>C45/136.84</f>
        <v>2.4409041086029259E-2</v>
      </c>
      <c r="D46">
        <f>D45/177.82</f>
        <v>1.7109945766667231E-2</v>
      </c>
      <c r="E46">
        <f>0.81/122.11</f>
        <v>6.6333633609041032E-3</v>
      </c>
    </row>
    <row r="47" spans="1:5" x14ac:dyDescent="0.2">
      <c r="A47" s="18">
        <f t="shared" ref="A47:A50" si="4">+A45+0.1</f>
        <v>0.1</v>
      </c>
      <c r="B47" s="1" t="s">
        <v>137</v>
      </c>
      <c r="C47">
        <f>99803/50672*100</f>
        <v>196.95887275023682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</row>
    <row r="48" spans="1:5" x14ac:dyDescent="0.2">
      <c r="A48" s="18">
        <f t="shared" si="4"/>
        <v>5.6999999999999975</v>
      </c>
      <c r="B48" s="1" t="s">
        <v>138</v>
      </c>
      <c r="C48">
        <f>119437/198773*100</f>
        <v>60.087134570590571</v>
      </c>
      <c r="D48">
        <f>108949/225521</f>
        <v>0.48309913489209433</v>
      </c>
      <c r="E48">
        <f>E21/('Financial Statements'!D48-'Financial Statements'!D56)</f>
        <v>0.30338312829525482</v>
      </c>
    </row>
    <row r="49" spans="1:5" x14ac:dyDescent="0.2">
      <c r="A49" s="18">
        <f t="shared" si="4"/>
        <v>0.2</v>
      </c>
      <c r="B49" s="1" t="s">
        <v>128</v>
      </c>
      <c r="C49">
        <f>99803/352755*100</f>
        <v>28.292440929256852</v>
      </c>
      <c r="D49">
        <v>27</v>
      </c>
      <c r="E49">
        <f>'Financial Statements'!D22/'Financial Statements'!D48</f>
        <v>0.1772557180259843</v>
      </c>
    </row>
    <row r="50" spans="1:5" x14ac:dyDescent="0.2">
      <c r="A50" s="18">
        <f t="shared" si="4"/>
        <v>5.7999999999999972</v>
      </c>
      <c r="B50" s="1" t="s">
        <v>139</v>
      </c>
      <c r="C50">
        <f>C51/130541</f>
        <v>5.3226986923648507</v>
      </c>
      <c r="D50">
        <f>D51/119437</f>
        <v>7.7527064477506968</v>
      </c>
      <c r="E50">
        <f>2335661/77344</f>
        <v>30.198347641704594</v>
      </c>
    </row>
    <row r="51" spans="1:5" x14ac:dyDescent="0.2">
      <c r="A51" s="18"/>
      <c r="B51" s="3" t="s">
        <v>140</v>
      </c>
      <c r="C51">
        <f>608389.41+110087-23646</f>
        <v>694830.41</v>
      </c>
      <c r="D51">
        <f>845794+115106-34940</f>
        <v>925960</v>
      </c>
      <c r="E51">
        <f>2115128+258549-38016</f>
        <v>2335661</v>
      </c>
    </row>
    <row r="52" spans="1:5" x14ac:dyDescent="0.2">
      <c r="A52">
        <v>1</v>
      </c>
    </row>
    <row r="53" spans="1:5" x14ac:dyDescent="0.2">
      <c r="B53" s="7" t="s">
        <v>149</v>
      </c>
      <c r="C53">
        <v>2021</v>
      </c>
      <c r="D53">
        <v>2022</v>
      </c>
    </row>
    <row r="54" spans="1:5" x14ac:dyDescent="0.2">
      <c r="B54" t="s">
        <v>150</v>
      </c>
      <c r="C54">
        <f>(365817-274515)/274515*100</f>
        <v>33.25938473307469</v>
      </c>
      <c r="D54">
        <f>(394328-365817)/365817*100</f>
        <v>7.7937876041846055</v>
      </c>
    </row>
    <row r="55" spans="1:5" x14ac:dyDescent="0.2">
      <c r="B55" t="s">
        <v>151</v>
      </c>
      <c r="C55">
        <f>(297392-220747)/220747*100</f>
        <v>34.720743656765436</v>
      </c>
      <c r="D55">
        <f>(316199-297392)/297392*100</f>
        <v>6.3239764351428418</v>
      </c>
    </row>
    <row r="56" spans="1:5" x14ac:dyDescent="0.2">
      <c r="B56" t="s">
        <v>152</v>
      </c>
      <c r="C56">
        <f>(68425-53768)/53768*100</f>
        <v>27.259708376729652</v>
      </c>
      <c r="D56">
        <f>(78129-68425)/68425*100</f>
        <v>14.181951041286078</v>
      </c>
    </row>
    <row r="58" spans="1:5" x14ac:dyDescent="0.2">
      <c r="B58" s="7" t="s">
        <v>153</v>
      </c>
      <c r="C58">
        <v>2021</v>
      </c>
      <c r="D58">
        <v>2022</v>
      </c>
    </row>
    <row r="59" spans="1:5" x14ac:dyDescent="0.2">
      <c r="B59" t="s">
        <v>154</v>
      </c>
      <c r="C59">
        <f>+(152836-104956)/104956*100</f>
        <v>45.61911658218682</v>
      </c>
      <c r="D59">
        <f>(170782-152836)/152836*100</f>
        <v>11.741997958596142</v>
      </c>
    </row>
    <row r="60" spans="1:5" x14ac:dyDescent="0.2">
      <c r="B60" t="s">
        <v>155</v>
      </c>
      <c r="C60">
        <f>(21914-18752)/18752*100</f>
        <v>16.862201365187712</v>
      </c>
      <c r="D60">
        <f>(26251-21914)/21914*100</f>
        <v>19.791001186456146</v>
      </c>
    </row>
    <row r="61" spans="1:5" x14ac:dyDescent="0.2">
      <c r="B61" t="s">
        <v>156</v>
      </c>
      <c r="C61">
        <f>(21973-19916)/19916*100</f>
        <v>10.328379192608958</v>
      </c>
      <c r="D61">
        <f>(25094-21973)/21973*100</f>
        <v>14.203795567287125</v>
      </c>
    </row>
    <row r="63" spans="1:5" x14ac:dyDescent="0.2">
      <c r="B63" s="7" t="s">
        <v>157</v>
      </c>
      <c r="C63">
        <v>2021</v>
      </c>
      <c r="D63">
        <v>2022</v>
      </c>
    </row>
    <row r="64" spans="1:5" x14ac:dyDescent="0.2">
      <c r="B64" t="s">
        <v>158</v>
      </c>
      <c r="C64">
        <f>(351002-323888)/323888*100</f>
        <v>8.3714123400681704</v>
      </c>
      <c r="D64">
        <f>(352755-351002)/351002*100</f>
        <v>0.49942735369029234</v>
      </c>
    </row>
    <row r="65" spans="1:5" x14ac:dyDescent="0.2">
      <c r="B65" t="s">
        <v>159</v>
      </c>
      <c r="C65">
        <f>(287912-258549)/258549*100</f>
        <v>11.356841449783213</v>
      </c>
      <c r="D65">
        <f>(302083-287912)/287912*100</f>
        <v>4.9219900525160467</v>
      </c>
    </row>
    <row r="66" spans="1:5" x14ac:dyDescent="0.2">
      <c r="B66" t="s">
        <v>160</v>
      </c>
      <c r="C66">
        <f>(63090-65339)/65339*100</f>
        <v>-3.4420483937617661</v>
      </c>
      <c r="D66">
        <f>(50672-63090)/63090*100</f>
        <v>-19.682992550324933</v>
      </c>
    </row>
    <row r="68" spans="1:5" x14ac:dyDescent="0.2">
      <c r="A68">
        <v>2</v>
      </c>
    </row>
    <row r="69" spans="1:5" x14ac:dyDescent="0.2">
      <c r="B69" s="7" t="s">
        <v>161</v>
      </c>
      <c r="C69">
        <v>2020</v>
      </c>
      <c r="D69">
        <v>2021</v>
      </c>
      <c r="E69">
        <v>2022</v>
      </c>
    </row>
    <row r="70" spans="1:5" x14ac:dyDescent="0.2">
      <c r="B70" s="7" t="s">
        <v>162</v>
      </c>
      <c r="C70">
        <f>169559/274515*100</f>
        <v>61.76675227218913</v>
      </c>
      <c r="D70">
        <f>212981/365817*100</f>
        <v>58.220640374832222</v>
      </c>
      <c r="E70">
        <f>233546/394328*100</f>
        <v>59.226329350185637</v>
      </c>
    </row>
    <row r="71" spans="1:5" x14ac:dyDescent="0.2">
      <c r="B71" s="7" t="s">
        <v>162</v>
      </c>
      <c r="C71">
        <f>104956/'Financial Statements'!D7*100</f>
        <v>195.20160690373456</v>
      </c>
      <c r="D71">
        <f>152836/'Financial Statements'!C7*100</f>
        <v>223.36280599196198</v>
      </c>
      <c r="E71">
        <f>170782/'Financial Statements'!B7*100</f>
        <v>218.58976820386795</v>
      </c>
    </row>
    <row r="72" spans="1:5" x14ac:dyDescent="0.2">
      <c r="B72" s="7" t="s">
        <v>163</v>
      </c>
      <c r="C72">
        <f>18752/'Financial Statements'!D8*100</f>
        <v>6.8309564140393064</v>
      </c>
      <c r="D72">
        <f>21914/'Financial Statements'!C8*100</f>
        <v>5.9904269074427923</v>
      </c>
      <c r="E72">
        <f>26251/'Financial Statements'!B8*100</f>
        <v>6.6571483637986653</v>
      </c>
    </row>
    <row r="73" spans="1:5" x14ac:dyDescent="0.2">
      <c r="B73" s="7" t="s">
        <v>164</v>
      </c>
      <c r="C73">
        <f>19916/'Financial Statements'!D8*100</f>
        <v>7.254976959364698</v>
      </c>
      <c r="D73">
        <f>108949/'Financial Statements'!C8*100</f>
        <v>29.782377527561593</v>
      </c>
      <c r="E73">
        <f>119437/'Financial Statements'!B8*100</f>
        <v>30.288744395528592</v>
      </c>
    </row>
    <row r="74" spans="1:5" x14ac:dyDescent="0.2">
      <c r="B74" s="7" t="s">
        <v>165</v>
      </c>
      <c r="C74" s="25">
        <f>'Financial Statements'!D18/'Financial Statements'!D8*100</f>
        <v>24.147314354406863</v>
      </c>
      <c r="D74" s="25">
        <f>'Financial Statements'!C18/'Financial Statements'!C8*100</f>
        <v>29.782377527561593</v>
      </c>
      <c r="E74" s="25">
        <f>'Financial Statements'!B18/'Financial Statements'!B8*100</f>
        <v>30.288744395528592</v>
      </c>
    </row>
    <row r="75" spans="1:5" x14ac:dyDescent="0.2">
      <c r="B75" s="7" t="s">
        <v>93</v>
      </c>
      <c r="C75" s="25">
        <v>20.913611280000001</v>
      </c>
      <c r="D75" s="25">
        <v>25.881789999999999</v>
      </c>
      <c r="E75" s="25">
        <v>25.30964071</v>
      </c>
    </row>
    <row r="77" spans="1:5" x14ac:dyDescent="0.2">
      <c r="A77">
        <v>3</v>
      </c>
      <c r="C77">
        <v>2020</v>
      </c>
      <c r="D77">
        <v>2021</v>
      </c>
      <c r="E77">
        <v>2022</v>
      </c>
    </row>
    <row r="78" spans="1:5" x14ac:dyDescent="0.2">
      <c r="B78" s="7" t="s">
        <v>166</v>
      </c>
      <c r="C78">
        <f>9680/67091*100</f>
        <v>14.428164731484102</v>
      </c>
      <c r="D78">
        <f>14527/109207*100</f>
        <v>13.302260844085087</v>
      </c>
      <c r="E78">
        <f>19300/119103*100</f>
        <v>16.204461684424405</v>
      </c>
    </row>
    <row r="79" spans="1:5" x14ac:dyDescent="0.2">
      <c r="B79" s="7" t="s">
        <v>167</v>
      </c>
      <c r="C79">
        <f>7309/271515*100</f>
        <v>2.6919323057657958</v>
      </c>
      <c r="D79">
        <f>11085/'Financial Statements'!C8*100</f>
        <v>3.0302036264033658</v>
      </c>
      <c r="E79">
        <f>10708/'Financial Statements'!B8*100</f>
        <v>2.715505873283155</v>
      </c>
    </row>
    <row r="80" spans="1:5" x14ac:dyDescent="0.2">
      <c r="B80" s="7" t="s">
        <v>168</v>
      </c>
      <c r="C80">
        <f>7309/36766*100</f>
        <v>19.879780231735843</v>
      </c>
      <c r="D80">
        <f>11085/39440*100</f>
        <v>28.105983772819471</v>
      </c>
      <c r="E80">
        <f>10708/42117*100</f>
        <v>25.424412944891611</v>
      </c>
    </row>
  </sheetData>
  <mergeCells count="1">
    <mergeCell ref="C2:E2"/>
  </mergeCells>
  <pageMargins left="0.7" right="0.7" top="0.75" bottom="0.75" header="0.3" footer="0.3"/>
  <ignoredErrors>
    <ignoredError sqref="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Haleema Maqsood (Student)</cp:lastModifiedBy>
  <dcterms:created xsi:type="dcterms:W3CDTF">2020-05-18T16:32:37Z</dcterms:created>
  <dcterms:modified xsi:type="dcterms:W3CDTF">2024-07-23T14:42:57Z</dcterms:modified>
</cp:coreProperties>
</file>