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wppshared-my.sharepoint.com/personal/chrispin_phiri_ogilvy_africa/Documents/Documents/AI/Investment Analysis/"/>
    </mc:Choice>
  </mc:AlternateContent>
  <xr:revisionPtr revIDLastSave="57" documentId="13_ncr:1_{42020FB9-8A45-4325-A077-007D60D5A37D}" xr6:coauthVersionLast="47" xr6:coauthVersionMax="47" xr10:uidLastSave="{40DD75F5-12CF-4AA4-B1A7-6D4CD5D9AE46}"/>
  <bookViews>
    <workbookView xWindow="-120" yWindow="-120" windowWidth="20730" windowHeight="11760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Working She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4" l="1"/>
  <c r="L49" i="4"/>
  <c r="J49" i="4"/>
  <c r="K50" i="4"/>
  <c r="L50" i="4"/>
  <c r="J50" i="4"/>
  <c r="K48" i="4"/>
  <c r="L48" i="4"/>
  <c r="J48" i="4"/>
  <c r="L47" i="4"/>
  <c r="K47" i="4"/>
  <c r="J47" i="4"/>
  <c r="K46" i="4"/>
  <c r="L46" i="4"/>
  <c r="J46" i="4"/>
  <c r="K45" i="4"/>
  <c r="L45" i="4"/>
  <c r="J45" i="4"/>
  <c r="J44" i="4"/>
  <c r="K44" i="4"/>
  <c r="L44" i="4"/>
  <c r="K43" i="4"/>
  <c r="L43" i="4"/>
  <c r="J43" i="4"/>
  <c r="K42" i="4"/>
  <c r="L42" i="4"/>
  <c r="J42" i="4"/>
  <c r="K41" i="4"/>
  <c r="L41" i="4"/>
  <c r="J41" i="4"/>
  <c r="K39" i="4"/>
  <c r="L39" i="4"/>
  <c r="J39" i="4"/>
  <c r="I79" i="4"/>
  <c r="I78" i="4"/>
  <c r="I77" i="4"/>
  <c r="I71" i="4"/>
  <c r="I70" i="4"/>
  <c r="I69" i="4"/>
  <c r="I68" i="4"/>
  <c r="I67" i="4"/>
  <c r="I66" i="4"/>
  <c r="I65" i="4"/>
  <c r="I64" i="4"/>
  <c r="L60" i="4"/>
  <c r="L61" i="4"/>
  <c r="K61" i="4"/>
  <c r="K60" i="4"/>
  <c r="I61" i="4"/>
  <c r="I62" i="4"/>
  <c r="I60" i="4"/>
  <c r="L55" i="4"/>
  <c r="L56" i="4"/>
  <c r="K56" i="4"/>
  <c r="K55" i="4"/>
  <c r="I56" i="4"/>
  <c r="I57" i="4"/>
  <c r="I55" i="4"/>
  <c r="K2" i="4" l="1"/>
  <c r="L2" i="4" s="1"/>
  <c r="D103" i="4"/>
  <c r="D94" i="4"/>
  <c r="D86" i="4"/>
  <c r="L40" i="4" s="1"/>
  <c r="C103" i="4"/>
  <c r="C94" i="4"/>
  <c r="C86" i="4"/>
  <c r="K40" i="4" s="1"/>
  <c r="B103" i="4"/>
  <c r="B94" i="4"/>
  <c r="B86" i="4"/>
  <c r="J40" i="4" s="1"/>
  <c r="C68" i="4"/>
  <c r="D68" i="4" s="1"/>
  <c r="D64" i="4"/>
  <c r="D57" i="4"/>
  <c r="D52" i="4"/>
  <c r="L6" i="4" s="1"/>
  <c r="D43" i="4"/>
  <c r="L86" i="4" s="1"/>
  <c r="D38" i="4"/>
  <c r="C64" i="4"/>
  <c r="C57" i="4"/>
  <c r="C52" i="4"/>
  <c r="C43" i="4"/>
  <c r="K86" i="4" s="1"/>
  <c r="C38" i="4"/>
  <c r="K5" i="4" s="1"/>
  <c r="C29" i="4"/>
  <c r="D29" i="4" s="1"/>
  <c r="B64" i="4"/>
  <c r="J26" i="4" s="1"/>
  <c r="B57" i="4"/>
  <c r="B58" i="4" s="1"/>
  <c r="B52" i="4"/>
  <c r="J6" i="4" s="1"/>
  <c r="B43" i="4"/>
  <c r="J86" i="4" s="1"/>
  <c r="B38" i="4"/>
  <c r="B44" i="4" s="1"/>
  <c r="D15" i="4"/>
  <c r="D10" i="4"/>
  <c r="D6" i="4"/>
  <c r="L85" i="4" s="1"/>
  <c r="C15" i="4"/>
  <c r="C11" i="4"/>
  <c r="C10" i="4"/>
  <c r="C6" i="4"/>
  <c r="K85" i="4" s="1"/>
  <c r="B15" i="4"/>
  <c r="B10" i="4"/>
  <c r="J8" i="4" s="1"/>
  <c r="B6" i="4"/>
  <c r="L78" i="4" l="1"/>
  <c r="J85" i="4"/>
  <c r="K77" i="4"/>
  <c r="L77" i="4"/>
  <c r="K78" i="4"/>
  <c r="L62" i="4"/>
  <c r="L79" i="4"/>
  <c r="J79" i="4"/>
  <c r="K10" i="4"/>
  <c r="K74" i="4"/>
  <c r="K75" i="4"/>
  <c r="L35" i="4"/>
  <c r="L74" i="4"/>
  <c r="K79" i="4"/>
  <c r="J5" i="4"/>
  <c r="K8" i="4"/>
  <c r="K65" i="4"/>
  <c r="D44" i="4"/>
  <c r="L64" i="4"/>
  <c r="L70" i="4"/>
  <c r="L26" i="4"/>
  <c r="L4" i="4"/>
  <c r="L5" i="4"/>
  <c r="K7" i="4"/>
  <c r="J9" i="4"/>
  <c r="L10" i="4"/>
  <c r="D58" i="4"/>
  <c r="L68" i="4"/>
  <c r="L7" i="4"/>
  <c r="K62" i="4"/>
  <c r="K34" i="4"/>
  <c r="K57" i="4"/>
  <c r="D11" i="4"/>
  <c r="L75" i="4" s="1"/>
  <c r="L34" i="4"/>
  <c r="L57" i="4"/>
  <c r="C58" i="4"/>
  <c r="K67" i="4"/>
  <c r="L65" i="4"/>
  <c r="D104" i="4"/>
  <c r="D111" i="4"/>
  <c r="K4" i="4"/>
  <c r="K6" i="4"/>
  <c r="L9" i="4"/>
  <c r="J13" i="4"/>
  <c r="J12" i="4" s="1"/>
  <c r="B11" i="4"/>
  <c r="K58" i="4" s="1"/>
  <c r="J35" i="4"/>
  <c r="J74" i="4"/>
  <c r="C16" i="4"/>
  <c r="K80" i="4" s="1"/>
  <c r="K16" i="4"/>
  <c r="J25" i="4"/>
  <c r="J24" i="4"/>
  <c r="C44" i="4"/>
  <c r="K66" i="4" s="1"/>
  <c r="K64" i="4"/>
  <c r="K26" i="4"/>
  <c r="K70" i="4"/>
  <c r="B104" i="4"/>
  <c r="B111" i="4"/>
  <c r="J10" i="4"/>
  <c r="K13" i="4"/>
  <c r="K12" i="4" s="1"/>
  <c r="J34" i="4"/>
  <c r="J77" i="4"/>
  <c r="J78" i="4"/>
  <c r="J33" i="4"/>
  <c r="K35" i="4"/>
  <c r="K68" i="4"/>
  <c r="L67" i="4"/>
  <c r="C104" i="4"/>
  <c r="C111" i="4"/>
  <c r="J4" i="4"/>
  <c r="J7" i="4"/>
  <c r="L8" i="4"/>
  <c r="K9" i="4"/>
  <c r="L13" i="4"/>
  <c r="L12" i="4" s="1"/>
  <c r="D65" i="4"/>
  <c r="B65" i="4"/>
  <c r="E51" i="1"/>
  <c r="E38" i="1"/>
  <c r="E39" i="1"/>
  <c r="D108" i="1"/>
  <c r="C108" i="1"/>
  <c r="B108" i="1"/>
  <c r="D99" i="1"/>
  <c r="C99" i="1"/>
  <c r="B99" i="1"/>
  <c r="J11" i="4" l="1"/>
  <c r="L66" i="4"/>
  <c r="K11" i="4"/>
  <c r="D16" i="4"/>
  <c r="L80" i="4" s="1"/>
  <c r="L58" i="4"/>
  <c r="L16" i="4"/>
  <c r="L33" i="4"/>
  <c r="C18" i="4"/>
  <c r="K84" i="4" s="1"/>
  <c r="K17" i="4"/>
  <c r="K28" i="4"/>
  <c r="K18" i="4"/>
  <c r="K25" i="4"/>
  <c r="K69" i="4"/>
  <c r="K24" i="4"/>
  <c r="K29" i="4"/>
  <c r="K30" i="4"/>
  <c r="J30" i="4"/>
  <c r="J29" i="4"/>
  <c r="K33" i="4"/>
  <c r="L29" i="4"/>
  <c r="L30" i="4"/>
  <c r="C65" i="4"/>
  <c r="K71" i="4" s="1"/>
  <c r="L11" i="4"/>
  <c r="B16" i="4"/>
  <c r="J80" i="4" s="1"/>
  <c r="J75" i="4"/>
  <c r="J16" i="4"/>
  <c r="L69" i="4"/>
  <c r="L25" i="4"/>
  <c r="L24" i="4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D13" i="1"/>
  <c r="D18" i="1" s="1"/>
  <c r="D20" i="1" s="1"/>
  <c r="D22" i="1" s="1"/>
  <c r="D76" i="1" s="1"/>
  <c r="D91" i="1" s="1"/>
  <c r="D109" i="1" s="1"/>
  <c r="B18" i="4"/>
  <c r="J84" i="4" s="1"/>
  <c r="J28" i="4"/>
  <c r="J17" i="4"/>
  <c r="J18" i="4"/>
  <c r="L71" i="4"/>
  <c r="C20" i="4"/>
  <c r="K81" i="4" s="1"/>
  <c r="K27" i="4"/>
  <c r="K19" i="4"/>
  <c r="K20" i="4"/>
  <c r="D18" i="4"/>
  <c r="L84" i="4" s="1"/>
  <c r="L28" i="4"/>
  <c r="L18" i="4"/>
  <c r="L17" i="4"/>
  <c r="C62" i="1"/>
  <c r="B13" i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69" i="1" l="1"/>
  <c r="C69" i="1"/>
  <c r="D69" i="1"/>
  <c r="K36" i="4"/>
  <c r="K21" i="4"/>
  <c r="D20" i="4"/>
  <c r="L81" i="4" s="1"/>
  <c r="L27" i="4"/>
  <c r="L19" i="4"/>
  <c r="L20" i="4"/>
  <c r="B20" i="4"/>
  <c r="J81" i="4" s="1"/>
  <c r="J19" i="4"/>
  <c r="J27" i="4"/>
  <c r="J20" i="4"/>
  <c r="A24" i="3"/>
  <c r="A25" i="3" s="1"/>
  <c r="A26" i="3" s="1"/>
  <c r="A27" i="3" s="1"/>
  <c r="A28" i="3" s="1"/>
  <c r="A29" i="3" s="1"/>
  <c r="A30" i="3" s="1"/>
  <c r="J36" i="4" l="1"/>
  <c r="J21" i="4"/>
  <c r="L36" i="4"/>
  <c r="L21" i="4"/>
  <c r="A33" i="3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<sst xmlns="http://schemas.openxmlformats.org/spreadsheetml/2006/main" count="350" uniqueCount="156">
  <si>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</si>
  <si>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</si>
  <si>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</si>
  <si>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</si>
  <si>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</si>
  <si>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</si>
  <si>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</si>
  <si>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</si>
  <si>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</si>
  <si>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</si>
  <si>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</si>
  <si>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</si>
  <si>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</si>
  <si>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</si>
  <si>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</si>
  <si>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</si>
  <si>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</si>
  <si>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</si>
  <si>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</si>
  <si>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</si>
  <si>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</si>
  <si>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</si>
  <si>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</si>
  <si>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</si>
  <si>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</si>
  <si>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</si>
  <si>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</si>
  <si>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</si>
  <si>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</si>
  <si>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</si>
  <si>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</si>
  <si>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</si>
  <si>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</si>
  <si>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</si>
  <si>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</si>
  <si>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</si>
  <si>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</si>
  <si>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</si>
  <si>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</si>
  <si>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</si>
  <si>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</si>
  <si>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</si>
  <si>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</si>
  <si>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</si>
  <si>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</si>
  <si>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</si>
  <si>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</si>
  <si>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</si>
  <si>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</si>
  <si>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</si>
  <si>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</si>
  <si>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</si>
  <si>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</si>
  <si>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</si>
  <si>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</si>
  <si>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</si>
  <si>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</si>
  <si>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</si>
  <si>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</si>
  <si>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</si>
  <si>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</si>
  <si>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</si>
  <si>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</si>
  <si>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</si>
  <si>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</si>
  <si>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</si>
  <si>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</si>
  <si>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</si>
  <si>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</si>
  <si>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</si>
  <si>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</si>
  <si>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</si>
  <si>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</si>
  <si>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</si>
  <si>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</si>
  <si>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</si>
  <si>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</si>
  <si>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</si>
  <si>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</si>
  <si>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</si>
  <si>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</si>
  <si>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</si>
  <si>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</si>
  <si>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</si>
  <si>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</si>
  <si>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</si>
  <si>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</si>
  <si>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</si>
  <si>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</si>
  <si>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</si>
  <si>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</si>
  <si>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</si>
  <si>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</si>
  <si>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</si>
  <si>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</si>
  <si>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</si>
  <si>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</si>
  <si>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</si>
  <si>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</si>
  <si>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</si>
  <si>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</si>
  <si>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</si>
  <si>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</si>
  <si>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</si>
  <si>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</si>
  <si>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</si>
  <si>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</si>
  <si>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</si>
  <si>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</si>
  <si>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</si>
  <si>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</si>
  <si>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</si>
  <si>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</si>
  <si>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</si>
  <si>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</si>
  <si>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</si>
  <si>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</si>
  <si>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</si>
  <si>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</si>
  <si>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</si>
  <si>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</si>
  <si>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</si>
  <si>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</si>
  <si>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</si>
  <si>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</si>
  <si>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</si>
  <si>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</si>
  <si>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</si>
  <si>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</si>
  <si>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</si>
  <si>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</si>
  <si>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</si>
  <si>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</si>
  <si>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</si>
  <si>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</si>
  <si>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</si>
  <si>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</si>
  <si>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</si>
  <si>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</si>
  <si>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</si>
  <si>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</si>
  <si>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</si>
  <si>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</si>
  <si>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</si>
  <si>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</si>
  <si>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</si>
  <si>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</si>
  <si>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</si>
  <si>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</si>
  <si>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</si>
  <si>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P&amp;L Statement</t>
  </si>
  <si>
    <t>Balance Sheet</t>
  </si>
  <si>
    <t>Cashflow Statement</t>
  </si>
  <si>
    <t>Ratio Analysis</t>
  </si>
  <si>
    <t>Free cash flow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</si>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</sst>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0" applyNumberFormat="1"/>
    <xf numFmtId="165" fontId="8" fillId="0" borderId="0" xfId="0" applyNumberFormat="1" applyFont="1"/>
    <xf numFmtId="10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67" fontId="0" fillId="0" borderId="0" xfId="3" applyNumberFormat="1" applyFont="1"/>
    <xf numFmtId="0" fontId="0" fillId="0" borderId="0" xfId="0" applyAlignment="1">
      <alignment horizontal="right"/>
    </xf>
    <xf numFmtId="167" fontId="0" fillId="0" borderId="0" xfId="3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4" workbookViewId="0">
      <selection activeCell="A27" sqref="A27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2" workbookViewId="0">
      <selection activeCell="A103" sqref="A10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5" t="s">
        <v>1</v>
      </c>
      <c r="B2" s="35"/>
      <c r="C2" s="35"/>
      <c r="D2" s="35"/>
    </row>
    <row r="3" spans="1:10" x14ac:dyDescent="0.25">
      <c r="B3" s="34" t="s">
        <v>23</v>
      </c>
      <c r="C3" s="34"/>
      <c r="D3" s="34"/>
    </row>
    <row r="4" spans="1:10" x14ac:dyDescent="0.25">
      <c r="B4" s="7">
        <v>2022</v>
      </c>
      <c r="C4" s="7">
        <v>2021</v>
      </c>
      <c r="D4" s="7">
        <v>2020</v>
      </c>
      <c r="F4" s="7"/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5" t="s">
        <v>24</v>
      </c>
      <c r="B31" s="35"/>
      <c r="C31" s="35"/>
      <c r="D31" s="35"/>
    </row>
    <row r="32" spans="1:4" x14ac:dyDescent="0.25">
      <c r="B32" s="34" t="s">
        <v>142</v>
      </c>
      <c r="C32" s="34"/>
      <c r="D32" s="34"/>
    </row>
    <row r="33" spans="1:5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5">
      <c r="A35" t="s">
        <v>25</v>
      </c>
    </row>
    <row r="36" spans="1:5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28</v>
      </c>
      <c r="B38" s="12">
        <v>28184</v>
      </c>
      <c r="C38" s="12">
        <v>26278</v>
      </c>
      <c r="D38" s="12">
        <v>16120</v>
      </c>
      <c r="E38" s="24">
        <f>AVERAGE(B38:C38)</f>
        <v>27231</v>
      </c>
    </row>
    <row r="39" spans="1:5" x14ac:dyDescent="0.25">
      <c r="A39" s="1" t="s">
        <v>29</v>
      </c>
      <c r="B39" s="12">
        <v>4946</v>
      </c>
      <c r="C39" s="12">
        <v>6580</v>
      </c>
      <c r="D39" s="12">
        <v>4061</v>
      </c>
      <c r="E39" s="24">
        <f>AVERAGE(B39:C39)</f>
        <v>5763</v>
      </c>
    </row>
    <row r="40" spans="1:5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5" x14ac:dyDescent="0.25">
      <c r="A43" t="s">
        <v>48</v>
      </c>
      <c r="B43" s="12"/>
      <c r="C43" s="12"/>
      <c r="D43" s="12"/>
    </row>
    <row r="44" spans="1:5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5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  <c r="E51" s="24">
        <f>AVERAGE(B51:C51)</f>
        <v>59439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5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5" x14ac:dyDescent="0.25">
      <c r="B63" s="12"/>
      <c r="C63" s="12"/>
      <c r="D63" s="12"/>
    </row>
    <row r="64" spans="1:5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5" t="s">
        <v>55</v>
      </c>
      <c r="B71" s="35"/>
      <c r="C71" s="35"/>
      <c r="D71" s="35"/>
    </row>
    <row r="72" spans="1:4" x14ac:dyDescent="0.25">
      <c r="B72" s="34" t="s">
        <v>23</v>
      </c>
      <c r="C72" s="34"/>
      <c r="D72" s="34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9" workbookViewId="0">
      <selection activeCell="B39" sqref="B39:B51"/>
    </sheetView>
  </sheetViews>
  <sheetFormatPr defaultRowHeight="15" x14ac:dyDescent="0.25"/>
  <cols>
    <col min="1" max="1" width="4.7109375" customWidth="1"/>
    <col min="2" max="2" width="44.85546875" customWidth="1"/>
    <col min="3" max="3" width="13.28515625" style="23" bestFit="1" customWidth="1"/>
    <col min="4" max="5" width="10.5703125" style="23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4" t="s">
        <v>23</v>
      </c>
      <c r="D2" s="34"/>
      <c r="E2" s="3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  <c r="C4"/>
      <c r="D4"/>
      <c r="E4"/>
    </row>
    <row r="5" spans="1:10" x14ac:dyDescent="0.25">
      <c r="A5" s="18">
        <f>+A4+0.1</f>
        <v>1.1000000000000001</v>
      </c>
      <c r="B5" s="1" t="s">
        <v>100</v>
      </c>
    </row>
    <row r="6" spans="1:10" x14ac:dyDescent="0.25">
      <c r="A6" s="18">
        <f t="shared" ref="A6:A13" si="0">+A5+0.1</f>
        <v>1.2000000000000002</v>
      </c>
      <c r="B6" s="1" t="s">
        <v>101</v>
      </c>
    </row>
    <row r="7" spans="1:10" x14ac:dyDescent="0.25">
      <c r="A7" s="18">
        <f t="shared" si="0"/>
        <v>1.3000000000000003</v>
      </c>
      <c r="B7" s="1" t="s">
        <v>102</v>
      </c>
    </row>
    <row r="8" spans="1:10" x14ac:dyDescent="0.25">
      <c r="A8" s="18">
        <f t="shared" si="0"/>
        <v>1.4000000000000004</v>
      </c>
      <c r="B8" s="1" t="s">
        <v>103</v>
      </c>
    </row>
    <row r="9" spans="1:10" x14ac:dyDescent="0.25">
      <c r="A9" s="18">
        <f t="shared" si="0"/>
        <v>1.5000000000000004</v>
      </c>
      <c r="B9" s="1" t="s">
        <v>104</v>
      </c>
    </row>
    <row r="10" spans="1:10" x14ac:dyDescent="0.25">
      <c r="A10" s="18">
        <f t="shared" si="0"/>
        <v>1.6000000000000005</v>
      </c>
      <c r="B10" s="1" t="s">
        <v>105</v>
      </c>
    </row>
    <row r="11" spans="1:10" x14ac:dyDescent="0.25">
      <c r="A11" s="18">
        <f t="shared" si="0"/>
        <v>1.7000000000000006</v>
      </c>
      <c r="B11" s="1" t="s">
        <v>106</v>
      </c>
    </row>
    <row r="12" spans="1:10" x14ac:dyDescent="0.25">
      <c r="A12" s="18">
        <f t="shared" si="0"/>
        <v>1.8000000000000007</v>
      </c>
      <c r="B12" s="1" t="s">
        <v>107</v>
      </c>
    </row>
    <row r="13" spans="1:10" x14ac:dyDescent="0.25">
      <c r="A13" s="18">
        <f t="shared" si="0"/>
        <v>1.9000000000000008</v>
      </c>
      <c r="B13" s="1" t="s">
        <v>108</v>
      </c>
      <c r="C13" s="25"/>
      <c r="D13" s="25"/>
      <c r="E13" s="25"/>
    </row>
    <row r="14" spans="1:10" x14ac:dyDescent="0.25">
      <c r="A14" s="18"/>
      <c r="B14" s="3" t="s">
        <v>109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5"/>
      <c r="D17" s="25"/>
      <c r="E17" s="25"/>
    </row>
    <row r="18" spans="1:5" x14ac:dyDescent="0.25">
      <c r="A18" s="18">
        <f>+A17+0.1</f>
        <v>2.2000000000000002</v>
      </c>
      <c r="B18" s="1" t="s">
        <v>111</v>
      </c>
      <c r="C18" s="25"/>
      <c r="D18" s="25"/>
      <c r="E18" s="25"/>
    </row>
    <row r="19" spans="1:5" x14ac:dyDescent="0.25">
      <c r="A19" s="18"/>
      <c r="B19" s="3" t="s">
        <v>112</v>
      </c>
      <c r="C19" s="25"/>
      <c r="D19" s="25"/>
      <c r="E19" s="25"/>
    </row>
    <row r="20" spans="1:5" x14ac:dyDescent="0.25">
      <c r="A20" s="18">
        <f>+A18+0.1</f>
        <v>2.3000000000000003</v>
      </c>
      <c r="B20" s="1" t="s">
        <v>113</v>
      </c>
      <c r="C20" s="25"/>
      <c r="D20" s="25"/>
      <c r="E20" s="25"/>
    </row>
    <row r="21" spans="1:5" x14ac:dyDescent="0.25">
      <c r="A21" s="18"/>
      <c r="B21" s="3" t="s">
        <v>114</v>
      </c>
      <c r="C21" s="25"/>
      <c r="D21" s="25"/>
      <c r="E21" s="25"/>
    </row>
    <row r="22" spans="1:5" x14ac:dyDescent="0.25">
      <c r="A22" s="18">
        <f>+A20+0.1</f>
        <v>2.4000000000000004</v>
      </c>
      <c r="B22" s="1" t="s">
        <v>115</v>
      </c>
      <c r="C22" s="25"/>
      <c r="D22" s="25"/>
      <c r="E22" s="25"/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</row>
    <row r="26" spans="1:5" x14ac:dyDescent="0.25">
      <c r="A26" s="18">
        <f t="shared" ref="A26:A30" si="1">+A25+0.1</f>
        <v>3.2</v>
      </c>
      <c r="B26" s="1" t="s">
        <v>118</v>
      </c>
    </row>
    <row r="27" spans="1:5" x14ac:dyDescent="0.25">
      <c r="A27" s="18">
        <f t="shared" si="1"/>
        <v>3.3000000000000003</v>
      </c>
      <c r="B27" s="1" t="s">
        <v>119</v>
      </c>
    </row>
    <row r="28" spans="1:5" x14ac:dyDescent="0.25">
      <c r="A28" s="18">
        <f t="shared" si="1"/>
        <v>3.4000000000000004</v>
      </c>
      <c r="B28" s="1" t="s">
        <v>120</v>
      </c>
    </row>
    <row r="29" spans="1:5" x14ac:dyDescent="0.25">
      <c r="A29" s="18">
        <f t="shared" si="1"/>
        <v>3.5000000000000004</v>
      </c>
      <c r="B29" s="1" t="s">
        <v>121</v>
      </c>
    </row>
    <row r="30" spans="1:5" x14ac:dyDescent="0.25">
      <c r="A30" s="18">
        <f t="shared" si="1"/>
        <v>3.6000000000000005</v>
      </c>
      <c r="B30" s="1" t="s">
        <v>122</v>
      </c>
    </row>
    <row r="31" spans="1:5" x14ac:dyDescent="0.25">
      <c r="A31" s="18"/>
      <c r="B31" s="3" t="s">
        <v>123</v>
      </c>
    </row>
    <row r="32" spans="1:5" x14ac:dyDescent="0.25">
      <c r="A32" s="18"/>
    </row>
    <row r="33" spans="1:2" x14ac:dyDescent="0.25">
      <c r="A33" s="18">
        <f>+A24+1</f>
        <v>4</v>
      </c>
      <c r="B33" s="17" t="s">
        <v>124</v>
      </c>
    </row>
    <row r="34" spans="1:2" x14ac:dyDescent="0.25">
      <c r="A34" s="18">
        <f>+A33+0.1</f>
        <v>4.0999999999999996</v>
      </c>
      <c r="B34" s="1" t="s">
        <v>125</v>
      </c>
    </row>
    <row r="35" spans="1:2" x14ac:dyDescent="0.25">
      <c r="A35" s="18">
        <f t="shared" ref="A35:A37" si="2">+A34+0.1</f>
        <v>4.1999999999999993</v>
      </c>
      <c r="B35" s="1" t="s">
        <v>126</v>
      </c>
    </row>
    <row r="36" spans="1:2" x14ac:dyDescent="0.25">
      <c r="A36" s="18">
        <f t="shared" si="2"/>
        <v>4.2999999999999989</v>
      </c>
      <c r="B36" s="1" t="s">
        <v>127</v>
      </c>
    </row>
    <row r="37" spans="1:2" x14ac:dyDescent="0.25">
      <c r="A37" s="18">
        <f t="shared" si="2"/>
        <v>4.3999999999999986</v>
      </c>
      <c r="B37" s="1" t="s">
        <v>128</v>
      </c>
    </row>
    <row r="38" spans="1:2" x14ac:dyDescent="0.25">
      <c r="A38" s="18"/>
    </row>
    <row r="39" spans="1:2" x14ac:dyDescent="0.25">
      <c r="A39" s="18">
        <f>+A33+1</f>
        <v>5</v>
      </c>
      <c r="B39" s="17" t="s">
        <v>129</v>
      </c>
    </row>
    <row r="40" spans="1:2" x14ac:dyDescent="0.25">
      <c r="A40" s="18">
        <f>+A39+0.1</f>
        <v>5.0999999999999996</v>
      </c>
      <c r="B40" s="1" t="s">
        <v>130</v>
      </c>
    </row>
    <row r="41" spans="1:2" x14ac:dyDescent="0.25">
      <c r="A41" s="18">
        <f t="shared" ref="A41:A44" si="3">+A40+0.1</f>
        <v>5.1999999999999993</v>
      </c>
      <c r="B41" s="3" t="s">
        <v>131</v>
      </c>
    </row>
    <row r="42" spans="1:2" x14ac:dyDescent="0.25">
      <c r="A42" s="18">
        <f t="shared" si="3"/>
        <v>5.2999999999999989</v>
      </c>
      <c r="B42" s="1" t="s">
        <v>132</v>
      </c>
    </row>
    <row r="43" spans="1:2" x14ac:dyDescent="0.25">
      <c r="A43" s="18">
        <f t="shared" si="3"/>
        <v>5.3999999999999986</v>
      </c>
      <c r="B43" s="3" t="s">
        <v>133</v>
      </c>
    </row>
    <row r="44" spans="1:2" x14ac:dyDescent="0.25">
      <c r="A44" s="18">
        <f t="shared" si="3"/>
        <v>5.4999999999999982</v>
      </c>
      <c r="B44" s="1" t="s">
        <v>134</v>
      </c>
    </row>
    <row r="45" spans="1:2" x14ac:dyDescent="0.25">
      <c r="A45" s="18"/>
      <c r="B45" s="3" t="s">
        <v>135</v>
      </c>
    </row>
    <row r="46" spans="1:2" x14ac:dyDescent="0.25">
      <c r="A46" s="18">
        <f>+A44+0.1</f>
        <v>5.5999999999999979</v>
      </c>
      <c r="B46" s="1" t="s">
        <v>136</v>
      </c>
    </row>
    <row r="47" spans="1:2" x14ac:dyDescent="0.25">
      <c r="A47" s="18">
        <f t="shared" ref="A47:A50" si="4">+A45+0.1</f>
        <v>0.1</v>
      </c>
      <c r="B47" s="1" t="s">
        <v>137</v>
      </c>
    </row>
    <row r="48" spans="1:2" x14ac:dyDescent="0.25">
      <c r="A48" s="18">
        <f t="shared" si="4"/>
        <v>5.6999999999999975</v>
      </c>
      <c r="B48" s="1" t="s">
        <v>138</v>
      </c>
    </row>
    <row r="49" spans="1:2" x14ac:dyDescent="0.25">
      <c r="A49" s="18">
        <f t="shared" si="4"/>
        <v>0.2</v>
      </c>
      <c r="B49" s="1" t="s">
        <v>128</v>
      </c>
    </row>
    <row r="50" spans="1:2" x14ac:dyDescent="0.25">
      <c r="A50" s="18">
        <f t="shared" si="4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7"/>
  <sheetViews>
    <sheetView tabSelected="1" workbookViewId="0">
      <pane ySplit="2" topLeftCell="A30" activePane="bottomLeft" state="frozen"/>
      <selection pane="bottomLeft" activeCell="I38" sqref="I38"/>
    </sheetView>
  </sheetViews>
  <sheetFormatPr defaultRowHeight="15" x14ac:dyDescent="0.25"/>
  <cols>
    <col min="1" max="1" width="41.85546875" bestFit="1" customWidth="1"/>
    <col min="2" max="2" width="11.140625" customWidth="1"/>
    <col min="3" max="3" width="10.140625" customWidth="1"/>
    <col min="4" max="4" width="9.85546875" customWidth="1"/>
    <col min="9" max="9" width="37.42578125" bestFit="1" customWidth="1"/>
    <col min="10" max="10" width="9.5703125" bestFit="1" customWidth="1"/>
    <col min="11" max="11" width="12" bestFit="1" customWidth="1"/>
    <col min="12" max="12" width="9.5703125" bestFit="1" customWidth="1"/>
  </cols>
  <sheetData>
    <row r="1" spans="1:13" x14ac:dyDescent="0.25">
      <c r="A1" s="7" t="s">
        <v>150</v>
      </c>
      <c r="H1" s="7" t="s">
        <v>153</v>
      </c>
      <c r="I1" s="7"/>
    </row>
    <row r="2" spans="1:13" x14ac:dyDescent="0.25">
      <c r="B2" s="7">
        <v>2020</v>
      </c>
      <c r="C2" s="7">
        <v>2021</v>
      </c>
      <c r="D2" s="7">
        <v>2022</v>
      </c>
      <c r="J2" s="7">
        <v>2020</v>
      </c>
      <c r="K2" s="7">
        <f>J2+1</f>
        <v>2021</v>
      </c>
      <c r="L2" s="7">
        <f>K2+1</f>
        <v>2022</v>
      </c>
    </row>
    <row r="3" spans="1:13" x14ac:dyDescent="0.25">
      <c r="A3" t="s">
        <v>3</v>
      </c>
      <c r="H3" s="7" t="s">
        <v>99</v>
      </c>
    </row>
    <row r="4" spans="1:13" x14ac:dyDescent="0.25">
      <c r="A4" s="1" t="s">
        <v>4</v>
      </c>
      <c r="B4" s="12">
        <v>220747</v>
      </c>
      <c r="C4" s="12">
        <v>297392</v>
      </c>
      <c r="D4" s="12">
        <v>316199</v>
      </c>
      <c r="H4" s="1" t="s">
        <v>100</v>
      </c>
      <c r="J4" s="26">
        <f>B38/B52</f>
        <v>1.3636044481554577</v>
      </c>
      <c r="K4" s="26">
        <f>C38/C52</f>
        <v>1.0745531195957954</v>
      </c>
      <c r="L4" s="26">
        <f>D38/D52</f>
        <v>0.87935602862672257</v>
      </c>
    </row>
    <row r="5" spans="1:13" x14ac:dyDescent="0.25">
      <c r="A5" s="1" t="s">
        <v>5</v>
      </c>
      <c r="B5" s="12">
        <v>53768</v>
      </c>
      <c r="C5" s="12">
        <v>68425</v>
      </c>
      <c r="D5" s="12">
        <v>78129</v>
      </c>
      <c r="H5" s="1" t="s">
        <v>101</v>
      </c>
      <c r="J5" s="26">
        <f>(B38-B35)/B52</f>
        <v>1.325072111735236</v>
      </c>
      <c r="K5" s="26">
        <f>(C38-C35)/C52</f>
        <v>1.0221149018576519</v>
      </c>
      <c r="L5" s="26">
        <f>(D38-D35)/D52</f>
        <v>0.84723539114961488</v>
      </c>
    </row>
    <row r="6" spans="1:13" x14ac:dyDescent="0.25">
      <c r="A6" s="8" t="s">
        <v>6</v>
      </c>
      <c r="B6" s="13">
        <f t="shared" ref="B6:C6" si="0">+B4+B5</f>
        <v>274515</v>
      </c>
      <c r="C6" s="13">
        <f t="shared" si="0"/>
        <v>365817</v>
      </c>
      <c r="D6" s="13">
        <f>+D4+D5</f>
        <v>394328</v>
      </c>
      <c r="H6" s="1" t="s">
        <v>102</v>
      </c>
      <c r="J6" s="26">
        <f>B32/B52</f>
        <v>0.36071049035979963</v>
      </c>
      <c r="K6" s="26">
        <f t="shared" ref="K6:L6" si="1">C32/C52</f>
        <v>0.27844853005634318</v>
      </c>
      <c r="L6" s="26">
        <f t="shared" si="1"/>
        <v>0.15356340351469652</v>
      </c>
    </row>
    <row r="7" spans="1:13" x14ac:dyDescent="0.25">
      <c r="A7" t="s">
        <v>7</v>
      </c>
      <c r="B7" s="12"/>
      <c r="C7" s="12"/>
      <c r="D7" s="12"/>
      <c r="E7" s="27"/>
      <c r="H7" s="1" t="s">
        <v>103</v>
      </c>
      <c r="J7" s="28">
        <f>(B38-B35)/(B15/365)</f>
        <v>1318.2212682321299</v>
      </c>
      <c r="K7" s="28">
        <f t="shared" ref="K7:L7" si="2">(C38-C35)/(C15/365)</f>
        <v>1066.6812495727663</v>
      </c>
      <c r="L7" s="28">
        <f t="shared" si="2"/>
        <v>927.40354464894335</v>
      </c>
    </row>
    <row r="8" spans="1:13" x14ac:dyDescent="0.25">
      <c r="A8" s="1" t="s">
        <v>4</v>
      </c>
      <c r="B8" s="12">
        <v>151286</v>
      </c>
      <c r="C8" s="12">
        <v>192266</v>
      </c>
      <c r="D8" s="12">
        <v>201471</v>
      </c>
      <c r="H8" s="1" t="s">
        <v>104</v>
      </c>
      <c r="J8" s="28">
        <f>(B35*365)/B10</f>
        <v>8.7418833562358831</v>
      </c>
      <c r="K8" s="28">
        <f t="shared" ref="K8:L8" si="3">(C35*365)/C10</f>
        <v>11.27659274770989</v>
      </c>
      <c r="L8" s="28">
        <f t="shared" si="3"/>
        <v>8.0756980666171607</v>
      </c>
      <c r="M8" s="28"/>
    </row>
    <row r="9" spans="1:13" x14ac:dyDescent="0.25">
      <c r="A9" s="1" t="s">
        <v>5</v>
      </c>
      <c r="B9" s="12">
        <v>18273</v>
      </c>
      <c r="C9" s="12">
        <v>20715</v>
      </c>
      <c r="D9" s="12">
        <v>22075</v>
      </c>
      <c r="H9" s="1" t="s">
        <v>105</v>
      </c>
      <c r="J9" s="28">
        <f>(B47*365)/B10</f>
        <v>91.048189715674184</v>
      </c>
      <c r="K9" s="28">
        <f t="shared" ref="K9:L9" si="4">(C47*365)/C10</f>
        <v>93.85107122231561</v>
      </c>
      <c r="L9" s="28">
        <f t="shared" si="4"/>
        <v>104.68527730310539</v>
      </c>
    </row>
    <row r="10" spans="1:13" x14ac:dyDescent="0.25">
      <c r="A10" s="8" t="s">
        <v>8</v>
      </c>
      <c r="B10" s="13">
        <f t="shared" ref="B10:C10" si="5">+B8+B9</f>
        <v>169559</v>
      </c>
      <c r="C10" s="13">
        <f t="shared" si="5"/>
        <v>212981</v>
      </c>
      <c r="D10" s="13">
        <f>+D8+D9</f>
        <v>223546</v>
      </c>
      <c r="H10" s="1" t="s">
        <v>106</v>
      </c>
      <c r="J10" s="28">
        <f>(B34*365)/B10</f>
        <v>34.700605688875257</v>
      </c>
      <c r="K10" s="28">
        <f t="shared" ref="K10:L10" si="6">(C34*365)/C10</f>
        <v>45.034392739258429</v>
      </c>
      <c r="L10" s="28">
        <f t="shared" si="6"/>
        <v>46.018090236461397</v>
      </c>
    </row>
    <row r="11" spans="1:13" x14ac:dyDescent="0.25">
      <c r="A11" s="8" t="s">
        <v>9</v>
      </c>
      <c r="B11" s="13">
        <f t="shared" ref="B11:C11" si="7">+B6-B10</f>
        <v>104956</v>
      </c>
      <c r="C11" s="13">
        <f t="shared" si="7"/>
        <v>152836</v>
      </c>
      <c r="D11" s="13">
        <f>+D6-D10</f>
        <v>170782</v>
      </c>
      <c r="H11" s="1" t="s">
        <v>107</v>
      </c>
      <c r="J11" s="28">
        <f>J8+J10-J9</f>
        <v>-47.605700670563046</v>
      </c>
      <c r="K11" s="28">
        <f t="shared" ref="K11:L11" si="8">K8+K10-K9</f>
        <v>-37.54008573534729</v>
      </c>
      <c r="L11" s="28">
        <f t="shared" si="8"/>
        <v>-50.59148900002684</v>
      </c>
    </row>
    <row r="12" spans="1:13" x14ac:dyDescent="0.25">
      <c r="A12" t="s">
        <v>10</v>
      </c>
      <c r="B12" s="12"/>
      <c r="C12" s="12"/>
      <c r="D12" s="12"/>
      <c r="H12" s="1" t="s">
        <v>108</v>
      </c>
      <c r="J12" s="29">
        <f>J13/B6</f>
        <v>0.13959528623208203</v>
      </c>
      <c r="K12" s="29">
        <f t="shared" ref="K12:L12" si="9">K13/C6</f>
        <v>2.557289573748623E-2</v>
      </c>
      <c r="L12" s="29">
        <f t="shared" si="9"/>
        <v>-4.711052727678481E-2</v>
      </c>
    </row>
    <row r="13" spans="1:13" x14ac:dyDescent="0.25">
      <c r="A13" s="1" t="s">
        <v>11</v>
      </c>
      <c r="B13" s="12">
        <v>18752</v>
      </c>
      <c r="C13" s="12">
        <v>21914</v>
      </c>
      <c r="D13" s="12">
        <v>26251</v>
      </c>
      <c r="H13" s="3" t="s">
        <v>109</v>
      </c>
      <c r="J13" s="27">
        <f>B38-B52</f>
        <v>38321</v>
      </c>
      <c r="K13" s="27">
        <f t="shared" ref="K13:L13" si="10">C38-C52</f>
        <v>9355</v>
      </c>
      <c r="L13" s="27">
        <f t="shared" si="10"/>
        <v>-18577</v>
      </c>
    </row>
    <row r="14" spans="1:13" x14ac:dyDescent="0.25">
      <c r="A14" s="1" t="s">
        <v>12</v>
      </c>
      <c r="B14" s="12">
        <v>19916</v>
      </c>
      <c r="C14" s="12">
        <v>21973</v>
      </c>
      <c r="D14" s="12">
        <v>25094</v>
      </c>
    </row>
    <row r="15" spans="1:13" x14ac:dyDescent="0.25">
      <c r="A15" s="8" t="s">
        <v>13</v>
      </c>
      <c r="B15" s="13">
        <f t="shared" ref="B15:C15" si="11">+B13+B14</f>
        <v>38668</v>
      </c>
      <c r="C15" s="13">
        <f t="shared" si="11"/>
        <v>43887</v>
      </c>
      <c r="D15" s="13">
        <f>+D13+D14</f>
        <v>51345</v>
      </c>
      <c r="H15" s="17" t="s">
        <v>110</v>
      </c>
    </row>
    <row r="16" spans="1:13" x14ac:dyDescent="0.25">
      <c r="A16" s="8" t="s">
        <v>14</v>
      </c>
      <c r="B16" s="13">
        <f t="shared" ref="B16:C16" si="12">+B11-B15</f>
        <v>66288</v>
      </c>
      <c r="C16" s="13">
        <f t="shared" si="12"/>
        <v>108949</v>
      </c>
      <c r="D16" s="13">
        <f>+D11-D15</f>
        <v>119437</v>
      </c>
      <c r="E16" t="s">
        <v>112</v>
      </c>
      <c r="H16" s="1" t="s">
        <v>9</v>
      </c>
      <c r="J16" s="29">
        <f>B11/B6</f>
        <v>0.38233247727810865</v>
      </c>
      <c r="K16" s="29">
        <f t="shared" ref="K16:L16" si="13">C11/C6</f>
        <v>0.41779359625167778</v>
      </c>
      <c r="L16" s="29">
        <f t="shared" si="13"/>
        <v>0.43309630561360085</v>
      </c>
    </row>
    <row r="17" spans="1:12" x14ac:dyDescent="0.25">
      <c r="A17" t="s">
        <v>15</v>
      </c>
      <c r="B17" s="12">
        <v>803</v>
      </c>
      <c r="C17" s="12">
        <v>258</v>
      </c>
      <c r="D17" s="12">
        <v>-334</v>
      </c>
      <c r="H17" s="1" t="s">
        <v>111</v>
      </c>
      <c r="J17" s="29">
        <f>B16/B6</f>
        <v>0.24147314354406862</v>
      </c>
      <c r="K17" s="29">
        <f t="shared" ref="K17:L17" si="14">C16/C6</f>
        <v>0.29782377527561593</v>
      </c>
      <c r="L17" s="29">
        <f t="shared" si="14"/>
        <v>0.30288744395528594</v>
      </c>
    </row>
    <row r="18" spans="1:12" x14ac:dyDescent="0.25">
      <c r="A18" s="8" t="s">
        <v>16</v>
      </c>
      <c r="B18" s="13">
        <f t="shared" ref="B18:C18" si="15">+B16+B17</f>
        <v>67091</v>
      </c>
      <c r="C18" s="13">
        <f t="shared" si="15"/>
        <v>109207</v>
      </c>
      <c r="D18" s="13">
        <f>+D16+D17</f>
        <v>119103</v>
      </c>
      <c r="E18" t="s">
        <v>114</v>
      </c>
      <c r="H18" s="3" t="s">
        <v>112</v>
      </c>
      <c r="J18" s="27">
        <f>B16</f>
        <v>66288</v>
      </c>
      <c r="K18" s="27">
        <f t="shared" ref="K18:L18" si="16">C16</f>
        <v>108949</v>
      </c>
      <c r="L18" s="27">
        <f t="shared" si="16"/>
        <v>119437</v>
      </c>
    </row>
    <row r="19" spans="1:12" x14ac:dyDescent="0.25">
      <c r="A19" t="s">
        <v>17</v>
      </c>
      <c r="B19" s="12">
        <v>9680</v>
      </c>
      <c r="C19" s="12">
        <v>14527</v>
      </c>
      <c r="D19" s="12">
        <v>19300</v>
      </c>
      <c r="H19" s="1" t="s">
        <v>113</v>
      </c>
      <c r="J19" s="29">
        <f>B18/B6</f>
        <v>0.24439830246070343</v>
      </c>
      <c r="K19" s="29">
        <f t="shared" ref="K19:L19" si="17">C18/C6</f>
        <v>0.29852904594373691</v>
      </c>
      <c r="L19" s="29">
        <f t="shared" si="17"/>
        <v>0.30204043334482966</v>
      </c>
    </row>
    <row r="20" spans="1:12" ht="15.75" thickBot="1" x14ac:dyDescent="0.3">
      <c r="A20" s="9" t="s">
        <v>18</v>
      </c>
      <c r="B20" s="14">
        <f t="shared" ref="B20:C20" si="18">+B18-B19</f>
        <v>57411</v>
      </c>
      <c r="C20" s="14">
        <f t="shared" si="18"/>
        <v>94680</v>
      </c>
      <c r="D20" s="14">
        <f>+D18-D19</f>
        <v>99803</v>
      </c>
      <c r="H20" s="3" t="s">
        <v>114</v>
      </c>
      <c r="J20" s="27">
        <f>B18</f>
        <v>67091</v>
      </c>
      <c r="K20" s="27">
        <f t="shared" ref="K20:L20" si="19">C18</f>
        <v>109207</v>
      </c>
      <c r="L20" s="27">
        <f t="shared" si="19"/>
        <v>119103</v>
      </c>
    </row>
    <row r="21" spans="1:12" ht="15.75" thickTop="1" x14ac:dyDescent="0.25">
      <c r="A21" t="s">
        <v>19</v>
      </c>
      <c r="H21" s="1" t="s">
        <v>115</v>
      </c>
      <c r="J21" s="29">
        <f>B20/B6</f>
        <v>0.20913611278072236</v>
      </c>
      <c r="K21" s="29">
        <f t="shared" ref="K21:L21" si="20">C20/C6</f>
        <v>0.25881793355694238</v>
      </c>
      <c r="L21" s="29">
        <f t="shared" si="20"/>
        <v>0.25309640705199732</v>
      </c>
    </row>
    <row r="22" spans="1:12" x14ac:dyDescent="0.25">
      <c r="A22" s="1" t="s">
        <v>20</v>
      </c>
      <c r="B22" s="10">
        <v>3.31</v>
      </c>
      <c r="C22" s="10">
        <v>5.67</v>
      </c>
      <c r="D22" s="10">
        <v>6.15</v>
      </c>
    </row>
    <row r="23" spans="1:12" x14ac:dyDescent="0.25">
      <c r="A23" s="1" t="s">
        <v>21</v>
      </c>
      <c r="B23" s="10">
        <v>3.28</v>
      </c>
      <c r="C23" s="10">
        <v>5.61</v>
      </c>
      <c r="D23" s="10">
        <v>6.11</v>
      </c>
      <c r="H23" s="7" t="s">
        <v>116</v>
      </c>
    </row>
    <row r="24" spans="1:12" x14ac:dyDescent="0.25">
      <c r="A24" t="s">
        <v>22</v>
      </c>
      <c r="H24" s="1" t="s">
        <v>117</v>
      </c>
      <c r="J24" s="26">
        <f>B58/B64</f>
        <v>3.9570394404566951</v>
      </c>
      <c r="K24" s="26">
        <f t="shared" ref="K24:L24" si="21">C58/C64</f>
        <v>4.5635124425423994</v>
      </c>
      <c r="L24" s="26">
        <f t="shared" si="21"/>
        <v>5.9615369434796337</v>
      </c>
    </row>
    <row r="25" spans="1:12" x14ac:dyDescent="0.25">
      <c r="A25" s="1" t="s">
        <v>20</v>
      </c>
      <c r="B25" s="2">
        <v>17352119</v>
      </c>
      <c r="C25" s="2">
        <v>16701272</v>
      </c>
      <c r="D25" s="2">
        <v>16215963</v>
      </c>
      <c r="H25" s="1" t="s">
        <v>118</v>
      </c>
      <c r="J25" s="26">
        <f>B58/B44</f>
        <v>0.79826668477992391</v>
      </c>
      <c r="K25" s="26">
        <f t="shared" ref="K25:L25" si="22">C58/C44</f>
        <v>0.82025743443057308</v>
      </c>
      <c r="L25" s="26">
        <f t="shared" si="22"/>
        <v>0.85635355983614692</v>
      </c>
    </row>
    <row r="26" spans="1:12" x14ac:dyDescent="0.25">
      <c r="A26" s="1" t="s">
        <v>21</v>
      </c>
      <c r="B26" s="2">
        <v>17528214</v>
      </c>
      <c r="C26" s="2">
        <v>16864919</v>
      </c>
      <c r="D26" s="2">
        <v>16325819</v>
      </c>
      <c r="H26" s="1" t="s">
        <v>119</v>
      </c>
      <c r="J26" s="26">
        <f>B55/B64</f>
        <v>1.5100782075024104</v>
      </c>
      <c r="K26" s="26">
        <f t="shared" ref="K26:L26" si="23">C55/C64</f>
        <v>1.729370740212395</v>
      </c>
      <c r="L26" s="26">
        <f t="shared" si="23"/>
        <v>1.9529325860435744</v>
      </c>
    </row>
    <row r="27" spans="1:12" x14ac:dyDescent="0.25">
      <c r="H27" s="1" t="s">
        <v>120</v>
      </c>
      <c r="J27" s="26">
        <f>B18/B109</f>
        <v>22.348767488341107</v>
      </c>
      <c r="K27" s="26">
        <f t="shared" ref="K27:L27" si="24">C18/C109</f>
        <v>40.642724227763303</v>
      </c>
      <c r="L27" s="26">
        <f t="shared" si="24"/>
        <v>41.571727748691103</v>
      </c>
    </row>
    <row r="28" spans="1:12" x14ac:dyDescent="0.25">
      <c r="A28" s="7" t="s">
        <v>151</v>
      </c>
      <c r="H28" s="1" t="s">
        <v>121</v>
      </c>
      <c r="J28" s="26">
        <f>(B16-B108)/(B51+B109)</f>
        <v>4.8226751592356685</v>
      </c>
      <c r="K28" s="26">
        <f t="shared" ref="K28:L28" si="25">(C16-C108)/(C51+C109)</f>
        <v>6.7938211382113822</v>
      </c>
      <c r="L28" s="26">
        <f t="shared" si="25"/>
        <v>7.1367112127492316</v>
      </c>
    </row>
    <row r="29" spans="1:12" x14ac:dyDescent="0.25">
      <c r="B29" s="7">
        <v>2020</v>
      </c>
      <c r="C29" s="7">
        <f>B29+1</f>
        <v>2021</v>
      </c>
      <c r="D29" s="7">
        <f>C29+1</f>
        <v>2022</v>
      </c>
      <c r="H29" s="1" t="s">
        <v>122</v>
      </c>
      <c r="J29" s="26">
        <f>B111/B61</f>
        <v>0.40073652494141276</v>
      </c>
      <c r="K29" s="26">
        <f t="shared" ref="K29:L29" si="26">C111/C61</f>
        <v>0.44002440512507629</v>
      </c>
      <c r="L29" s="26">
        <f t="shared" si="26"/>
        <v>0.71692701506576817</v>
      </c>
    </row>
    <row r="30" spans="1:12" x14ac:dyDescent="0.25">
      <c r="H30" s="3" t="s">
        <v>123</v>
      </c>
      <c r="J30" s="12">
        <f>B111</f>
        <v>20349</v>
      </c>
      <c r="K30" s="12">
        <f t="shared" ref="K30:L30" si="27">C111</f>
        <v>25242</v>
      </c>
      <c r="L30" s="12">
        <f t="shared" si="27"/>
        <v>46492</v>
      </c>
    </row>
    <row r="31" spans="1:12" x14ac:dyDescent="0.25">
      <c r="A31" t="s">
        <v>25</v>
      </c>
    </row>
    <row r="32" spans="1:12" x14ac:dyDescent="0.25">
      <c r="A32" s="1" t="s">
        <v>26</v>
      </c>
      <c r="B32" s="12">
        <v>38016</v>
      </c>
      <c r="C32" s="12">
        <v>34940</v>
      </c>
      <c r="D32" s="12">
        <v>23646</v>
      </c>
      <c r="E32" s="27"/>
      <c r="H32" s="17" t="s">
        <v>124</v>
      </c>
    </row>
    <row r="33" spans="1:12" x14ac:dyDescent="0.25">
      <c r="A33" s="1" t="s">
        <v>27</v>
      </c>
      <c r="B33" s="12">
        <v>52927</v>
      </c>
      <c r="C33" s="12">
        <v>27699</v>
      </c>
      <c r="D33" s="12">
        <v>24658</v>
      </c>
      <c r="E33" s="23"/>
      <c r="H33" s="1" t="s">
        <v>125</v>
      </c>
      <c r="J33" s="26">
        <f>B6/B44</f>
        <v>0.84756150274168851</v>
      </c>
      <c r="K33" s="26">
        <f t="shared" ref="K33:L33" si="28">C6/C44</f>
        <v>1.0422077367080529</v>
      </c>
      <c r="L33" s="26">
        <f t="shared" si="28"/>
        <v>1.1178523337727317</v>
      </c>
    </row>
    <row r="34" spans="1:12" x14ac:dyDescent="0.25">
      <c r="A34" s="1" t="s">
        <v>28</v>
      </c>
      <c r="B34" s="12">
        <v>16120</v>
      </c>
      <c r="C34" s="12">
        <v>26278</v>
      </c>
      <c r="D34" s="12">
        <v>28184</v>
      </c>
      <c r="H34" s="1" t="s">
        <v>126</v>
      </c>
      <c r="J34" s="26">
        <f>B6/B43</f>
        <v>1.5236020535590398</v>
      </c>
      <c r="K34" s="26">
        <f t="shared" ref="K34:L34" si="29">C6/C43</f>
        <v>1.6922966608994938</v>
      </c>
      <c r="L34" s="26">
        <f t="shared" si="29"/>
        <v>1.8142535081665516</v>
      </c>
    </row>
    <row r="35" spans="1:12" x14ac:dyDescent="0.25">
      <c r="A35" s="1" t="s">
        <v>29</v>
      </c>
      <c r="B35" s="12">
        <v>4061</v>
      </c>
      <c r="C35" s="12">
        <v>6580</v>
      </c>
      <c r="D35" s="12">
        <v>4946</v>
      </c>
      <c r="H35" s="1" t="s">
        <v>127</v>
      </c>
      <c r="J35" s="26">
        <f>B10/B35</f>
        <v>41.753016498399411</v>
      </c>
      <c r="K35" s="26">
        <f t="shared" ref="K35:L35" si="30">C10/C35</f>
        <v>32.367933130699086</v>
      </c>
      <c r="L35" s="26">
        <f t="shared" si="30"/>
        <v>45.197331176708452</v>
      </c>
    </row>
    <row r="36" spans="1:12" x14ac:dyDescent="0.25">
      <c r="A36" s="1" t="s">
        <v>47</v>
      </c>
      <c r="B36" s="12">
        <v>21325</v>
      </c>
      <c r="C36" s="12">
        <v>25228</v>
      </c>
      <c r="D36" s="12">
        <v>32748</v>
      </c>
      <c r="H36" s="1" t="s">
        <v>128</v>
      </c>
      <c r="J36" s="26">
        <f>B20/B44</f>
        <v>0.1772557180259843</v>
      </c>
      <c r="K36" s="26">
        <f t="shared" ref="K36:L36" si="31">C20/C44</f>
        <v>0.26974205275183616</v>
      </c>
      <c r="L36" s="26">
        <f t="shared" si="31"/>
        <v>0.28292440929256851</v>
      </c>
    </row>
    <row r="37" spans="1:12" x14ac:dyDescent="0.25">
      <c r="A37" s="1" t="s">
        <v>30</v>
      </c>
      <c r="B37" s="12">
        <v>11264</v>
      </c>
      <c r="C37" s="12">
        <v>14111</v>
      </c>
      <c r="D37" s="12">
        <v>21223</v>
      </c>
    </row>
    <row r="38" spans="1:12" x14ac:dyDescent="0.25">
      <c r="A38" s="8" t="s">
        <v>31</v>
      </c>
      <c r="B38" s="13">
        <f t="shared" ref="B38:C38" si="32">+SUM(B32:B37)</f>
        <v>143713</v>
      </c>
      <c r="C38" s="13">
        <f t="shared" si="32"/>
        <v>134836</v>
      </c>
      <c r="D38" s="13">
        <f>+SUM(D32:D37)</f>
        <v>135405</v>
      </c>
      <c r="H38" s="17" t="s">
        <v>129</v>
      </c>
    </row>
    <row r="39" spans="1:12" x14ac:dyDescent="0.25">
      <c r="A39" t="s">
        <v>48</v>
      </c>
      <c r="B39" s="12"/>
      <c r="C39" s="12"/>
      <c r="D39" s="12"/>
      <c r="H39" s="1" t="s">
        <v>130</v>
      </c>
      <c r="J39" s="26">
        <f>224.53/B22</f>
        <v>67.833836858006038</v>
      </c>
      <c r="K39" s="26">
        <f>224.53/C22</f>
        <v>39.599647266313937</v>
      </c>
      <c r="L39" s="26">
        <f>224.53/D22</f>
        <v>36.508943089430893</v>
      </c>
    </row>
    <row r="40" spans="1:12" x14ac:dyDescent="0.25">
      <c r="A40" s="1" t="s">
        <v>27</v>
      </c>
      <c r="B40" s="12">
        <v>100887</v>
      </c>
      <c r="C40" s="12">
        <v>127877</v>
      </c>
      <c r="D40" s="12">
        <v>120805</v>
      </c>
      <c r="H40" s="3" t="s">
        <v>131</v>
      </c>
      <c r="J40" s="26">
        <f>(B86-B97)/B25</f>
        <v>5.4607163540084068E-3</v>
      </c>
      <c r="K40" s="26">
        <f>(C86-C97)/C25</f>
        <v>7.0955673316379737E-3</v>
      </c>
      <c r="L40" s="26">
        <f>(D86-D97)/D25</f>
        <v>8.4479719150814536E-3</v>
      </c>
    </row>
    <row r="41" spans="1:12" x14ac:dyDescent="0.25">
      <c r="A41" s="1" t="s">
        <v>32</v>
      </c>
      <c r="B41" s="12">
        <v>36766</v>
      </c>
      <c r="C41" s="12">
        <v>39440</v>
      </c>
      <c r="D41" s="12">
        <v>42117</v>
      </c>
      <c r="H41" s="1" t="s">
        <v>132</v>
      </c>
      <c r="J41" s="23">
        <f>224.53/((B44-B58)/B61)</f>
        <v>174.49622537841108</v>
      </c>
      <c r="K41" s="23">
        <f t="shared" ref="K41:L41" si="33">224.53/((C44-C58)/C61)</f>
        <v>204.15538833412586</v>
      </c>
      <c r="L41" s="23">
        <f t="shared" si="33"/>
        <v>287.34894951847173</v>
      </c>
    </row>
    <row r="42" spans="1:12" x14ac:dyDescent="0.25">
      <c r="A42" s="1" t="s">
        <v>49</v>
      </c>
      <c r="B42" s="12">
        <v>42522</v>
      </c>
      <c r="C42" s="12">
        <v>48849</v>
      </c>
      <c r="D42" s="12">
        <v>54428</v>
      </c>
      <c r="H42" s="3" t="s">
        <v>133</v>
      </c>
      <c r="J42" s="26">
        <f>B64/B61</f>
        <v>1.2867327044644439</v>
      </c>
      <c r="K42" s="26">
        <f t="shared" ref="K42:L42" si="34">C64/C61</f>
        <v>1.0997995293297307</v>
      </c>
      <c r="L42" s="26">
        <f t="shared" si="34"/>
        <v>0.78138444694598219</v>
      </c>
    </row>
    <row r="43" spans="1:12" x14ac:dyDescent="0.25">
      <c r="A43" s="8" t="s">
        <v>50</v>
      </c>
      <c r="B43" s="13">
        <f t="shared" ref="B43:C43" si="35">+SUM(B40:B42)</f>
        <v>180175</v>
      </c>
      <c r="C43" s="13">
        <f t="shared" si="35"/>
        <v>216166</v>
      </c>
      <c r="D43" s="13">
        <f>+SUM(D40:D42)</f>
        <v>217350</v>
      </c>
      <c r="H43" s="1" t="s">
        <v>134</v>
      </c>
      <c r="J43" s="26">
        <f>B97/B20</f>
        <v>-0.24526658654264863</v>
      </c>
      <c r="K43" s="26">
        <f t="shared" ref="K43:L43" si="36">C97/C20</f>
        <v>-0.15279890156316012</v>
      </c>
      <c r="L43" s="26">
        <f t="shared" si="36"/>
        <v>-0.14870294480125848</v>
      </c>
    </row>
    <row r="44" spans="1:12" ht="15.75" thickBot="1" x14ac:dyDescent="0.3">
      <c r="A44" s="9" t="s">
        <v>33</v>
      </c>
      <c r="B44" s="14">
        <f t="shared" ref="B44:C44" si="37">+B38+B43</f>
        <v>323888</v>
      </c>
      <c r="C44" s="14">
        <f t="shared" si="37"/>
        <v>351002</v>
      </c>
      <c r="D44" s="14">
        <f>+D38+D43</f>
        <v>352755</v>
      </c>
      <c r="H44" s="3" t="s">
        <v>135</v>
      </c>
      <c r="J44" s="26">
        <f>B97/B26</f>
        <v>-8.0333341434558024E-4</v>
      </c>
      <c r="K44" s="26">
        <f t="shared" ref="K44:L44" si="38">C97/C26</f>
        <v>-8.5781615672153545E-4</v>
      </c>
      <c r="L44" s="26">
        <f t="shared" si="38"/>
        <v>-9.0905087211857485E-4</v>
      </c>
    </row>
    <row r="45" spans="1:12" ht="15.75" thickTop="1" x14ac:dyDescent="0.25">
      <c r="H45" s="1" t="s">
        <v>136</v>
      </c>
      <c r="J45" s="26">
        <f>B97/228.03</f>
        <v>-61.750646844713415</v>
      </c>
      <c r="K45" s="26">
        <f t="shared" ref="K45:L45" si="39">C97/228.03</f>
        <v>-63.443406569311058</v>
      </c>
      <c r="L45" s="26">
        <f t="shared" si="39"/>
        <v>-65.083541639257987</v>
      </c>
    </row>
    <row r="46" spans="1:12" x14ac:dyDescent="0.25">
      <c r="A46" t="s">
        <v>34</v>
      </c>
      <c r="H46" s="1" t="s">
        <v>137</v>
      </c>
      <c r="J46" s="26">
        <f>B20/B64</f>
        <v>0.87866358530127486</v>
      </c>
      <c r="K46" s="26">
        <f t="shared" ref="K46:L46" si="40">C20/C64</f>
        <v>1.5007132667617689</v>
      </c>
      <c r="L46" s="26">
        <f t="shared" si="40"/>
        <v>1.9695887275023682</v>
      </c>
    </row>
    <row r="47" spans="1:12" x14ac:dyDescent="0.25">
      <c r="A47" s="1" t="s">
        <v>35</v>
      </c>
      <c r="B47" s="12">
        <v>42296</v>
      </c>
      <c r="C47" s="12">
        <v>54763</v>
      </c>
      <c r="D47" s="12">
        <v>64115</v>
      </c>
      <c r="H47" s="1" t="s">
        <v>138</v>
      </c>
      <c r="J47" s="26">
        <f>J20/(B44-B58)</f>
        <v>1.026814000826459</v>
      </c>
      <c r="K47" s="26">
        <f t="shared" ref="K47:L47" si="41">K20/(C44-C58)</f>
        <v>1.7309716278332541</v>
      </c>
      <c r="L47" s="26">
        <f t="shared" si="41"/>
        <v>2.350469687401326</v>
      </c>
    </row>
    <row r="48" spans="1:12" x14ac:dyDescent="0.25">
      <c r="A48" s="1" t="s">
        <v>36</v>
      </c>
      <c r="B48" s="12">
        <v>42684</v>
      </c>
      <c r="C48" s="12">
        <v>47493</v>
      </c>
      <c r="D48" s="12">
        <v>60845</v>
      </c>
      <c r="H48" s="1" t="s">
        <v>128</v>
      </c>
      <c r="J48" s="26">
        <f>B20/B44</f>
        <v>0.1772557180259843</v>
      </c>
      <c r="K48" s="26">
        <f t="shared" ref="K48:L48" si="42">C20/C44</f>
        <v>0.26974205275183616</v>
      </c>
      <c r="L48" s="26">
        <f t="shared" si="42"/>
        <v>0.28292440929256851</v>
      </c>
    </row>
    <row r="49" spans="1:13" x14ac:dyDescent="0.25">
      <c r="A49" s="1" t="s">
        <v>37</v>
      </c>
      <c r="B49" s="12">
        <v>6643</v>
      </c>
      <c r="C49" s="12">
        <v>7612</v>
      </c>
      <c r="D49" s="12">
        <v>7912</v>
      </c>
      <c r="H49" s="1" t="s">
        <v>139</v>
      </c>
      <c r="J49" s="26">
        <f>J50/J18</f>
        <v>1.6809980690321022</v>
      </c>
      <c r="K49" s="26">
        <f t="shared" ref="K49:L49" si="43">K50/K18</f>
        <v>1.2072712920724376</v>
      </c>
      <c r="L49" s="26">
        <f t="shared" si="43"/>
        <v>1.1735224427941091</v>
      </c>
    </row>
    <row r="50" spans="1:13" x14ac:dyDescent="0.25">
      <c r="A50" s="1" t="s">
        <v>38</v>
      </c>
      <c r="B50" s="12">
        <v>4996</v>
      </c>
      <c r="C50" s="12">
        <v>6000</v>
      </c>
      <c r="D50" s="12">
        <v>9982</v>
      </c>
      <c r="H50" s="3" t="s">
        <v>140</v>
      </c>
      <c r="J50" s="26">
        <f>B61+B55-B32</f>
        <v>111430</v>
      </c>
      <c r="K50" s="26">
        <f t="shared" ref="K50:L50" si="44">C61+C55-C32</f>
        <v>131531</v>
      </c>
      <c r="L50" s="26">
        <f t="shared" si="44"/>
        <v>140162</v>
      </c>
    </row>
    <row r="51" spans="1:13" x14ac:dyDescent="0.25">
      <c r="A51" s="1" t="s">
        <v>39</v>
      </c>
      <c r="B51" s="12">
        <v>8773</v>
      </c>
      <c r="C51" s="12">
        <v>9613</v>
      </c>
      <c r="D51" s="12">
        <v>11128</v>
      </c>
    </row>
    <row r="52" spans="1:13" x14ac:dyDescent="0.25">
      <c r="A52" s="8" t="s">
        <v>40</v>
      </c>
      <c r="B52" s="13">
        <f t="shared" ref="B52:C52" si="45">+SUM(B47:B51)</f>
        <v>105392</v>
      </c>
      <c r="C52" s="13">
        <f t="shared" si="45"/>
        <v>125481</v>
      </c>
      <c r="D52" s="13">
        <f>+SUM(D47:D51)</f>
        <v>153982</v>
      </c>
    </row>
    <row r="53" spans="1:13" x14ac:dyDescent="0.25">
      <c r="A53" t="s">
        <v>51</v>
      </c>
      <c r="B53" s="12"/>
      <c r="C53" s="12"/>
      <c r="D53" s="12"/>
      <c r="H53" s="17" t="s">
        <v>149</v>
      </c>
    </row>
    <row r="54" spans="1:13" x14ac:dyDescent="0.25">
      <c r="A54" s="1" t="s">
        <v>37</v>
      </c>
      <c r="B54" s="12"/>
      <c r="C54" s="12"/>
      <c r="D54" s="12"/>
      <c r="H54" s="1" t="s">
        <v>145</v>
      </c>
    </row>
    <row r="55" spans="1:13" x14ac:dyDescent="0.25">
      <c r="A55" s="1" t="s">
        <v>39</v>
      </c>
      <c r="B55" s="12">
        <v>98667</v>
      </c>
      <c r="C55" s="12">
        <v>109106</v>
      </c>
      <c r="D55" s="12">
        <v>98959</v>
      </c>
      <c r="I55" t="str">
        <f>A4</f>
        <v>Products</v>
      </c>
      <c r="J55" t="s">
        <v>155</v>
      </c>
      <c r="K55" s="29">
        <f t="shared" ref="K55:L57" si="46">(C4-B4)/B4</f>
        <v>0.34720743656765435</v>
      </c>
      <c r="L55" s="29">
        <f t="shared" si="46"/>
        <v>6.3239764351428418E-2</v>
      </c>
    </row>
    <row r="56" spans="1:13" x14ac:dyDescent="0.25">
      <c r="A56" s="1" t="s">
        <v>52</v>
      </c>
      <c r="B56" s="12">
        <v>54490</v>
      </c>
      <c r="C56" s="12">
        <v>53325</v>
      </c>
      <c r="D56" s="12">
        <v>49142</v>
      </c>
      <c r="I56" t="str">
        <f t="shared" ref="I56:I57" si="47">A5</f>
        <v>Services</v>
      </c>
      <c r="J56" s="30" t="s">
        <v>155</v>
      </c>
      <c r="K56" s="29">
        <f t="shared" si="46"/>
        <v>0.27259708376729652</v>
      </c>
      <c r="L56" s="29">
        <f t="shared" si="46"/>
        <v>0.14181951041286078</v>
      </c>
    </row>
    <row r="57" spans="1:13" x14ac:dyDescent="0.25">
      <c r="A57" s="22" t="s">
        <v>53</v>
      </c>
      <c r="B57" s="21">
        <f t="shared" ref="B57:C57" si="48">+B55+B56</f>
        <v>153157</v>
      </c>
      <c r="C57" s="21">
        <f t="shared" si="48"/>
        <v>162431</v>
      </c>
      <c r="D57" s="21">
        <f>+D55+D56</f>
        <v>148101</v>
      </c>
      <c r="I57" t="str">
        <f t="shared" si="47"/>
        <v>Total net sales</v>
      </c>
      <c r="J57" s="30" t="s">
        <v>155</v>
      </c>
      <c r="K57" s="29">
        <f t="shared" si="46"/>
        <v>0.33259384733074693</v>
      </c>
      <c r="L57" s="29">
        <f t="shared" si="46"/>
        <v>7.7937876041846058E-2</v>
      </c>
    </row>
    <row r="58" spans="1:13" x14ac:dyDescent="0.25">
      <c r="A58" s="8" t="s">
        <v>41</v>
      </c>
      <c r="B58" s="13">
        <f t="shared" ref="B58:C58" si="49">+B52+B57</f>
        <v>258549</v>
      </c>
      <c r="C58" s="13">
        <f t="shared" si="49"/>
        <v>287912</v>
      </c>
      <c r="D58" s="13">
        <f>+D52+D57</f>
        <v>302083</v>
      </c>
      <c r="H58" s="1" t="s">
        <v>89</v>
      </c>
      <c r="J58" s="30" t="s">
        <v>155</v>
      </c>
      <c r="K58" s="29">
        <f>(C11-B11)/B11</f>
        <v>0.45619116582186819</v>
      </c>
      <c r="L58" s="29">
        <f t="shared" ref="L58" si="50">(D11-C11)/C11</f>
        <v>0.11741997958596143</v>
      </c>
      <c r="M58" s="23"/>
    </row>
    <row r="59" spans="1:13" x14ac:dyDescent="0.25">
      <c r="B59" s="12"/>
      <c r="C59" s="12"/>
      <c r="D59" s="12"/>
      <c r="H59" s="1" t="s">
        <v>90</v>
      </c>
      <c r="K59" s="29"/>
      <c r="L59" s="29"/>
    </row>
    <row r="60" spans="1:13" x14ac:dyDescent="0.25">
      <c r="A60" t="s">
        <v>42</v>
      </c>
      <c r="B60" s="12"/>
      <c r="C60" s="12"/>
      <c r="D60" s="12"/>
      <c r="I60" t="str">
        <f>A13</f>
        <v>Research and development</v>
      </c>
      <c r="J60" s="30" t="s">
        <v>155</v>
      </c>
      <c r="K60" s="29">
        <f>(C13-B13)/B13</f>
        <v>0.16862201365187712</v>
      </c>
      <c r="L60" s="29">
        <f>(D13-C13)/C13</f>
        <v>0.19791001186456147</v>
      </c>
    </row>
    <row r="61" spans="1:13" x14ac:dyDescent="0.25">
      <c r="A61" s="1" t="s">
        <v>54</v>
      </c>
      <c r="B61" s="12">
        <v>50779</v>
      </c>
      <c r="C61" s="12">
        <v>57365</v>
      </c>
      <c r="D61" s="12">
        <v>64849</v>
      </c>
      <c r="I61" t="str">
        <f t="shared" ref="I61:I62" si="51">A14</f>
        <v>Selling, general and administrative</v>
      </c>
      <c r="J61" s="30" t="s">
        <v>155</v>
      </c>
      <c r="K61" s="29">
        <f t="shared" ref="K61:L62" si="52">(C14-B14)/B14</f>
        <v>0.10328379192608958</v>
      </c>
      <c r="L61" s="29">
        <f t="shared" si="52"/>
        <v>0.14203795567287125</v>
      </c>
    </row>
    <row r="62" spans="1:13" x14ac:dyDescent="0.25">
      <c r="A62" s="1" t="s">
        <v>43</v>
      </c>
      <c r="B62" s="12">
        <v>14966</v>
      </c>
      <c r="C62" s="12">
        <v>5562</v>
      </c>
      <c r="D62" s="12">
        <v>-3068</v>
      </c>
      <c r="I62" t="str">
        <f t="shared" si="51"/>
        <v>Total operating expenses</v>
      </c>
      <c r="J62" s="30" t="s">
        <v>155</v>
      </c>
      <c r="K62" s="29">
        <f t="shared" si="52"/>
        <v>0.13496948381090307</v>
      </c>
      <c r="L62" s="29">
        <f t="shared" si="52"/>
        <v>0.16993642764372138</v>
      </c>
    </row>
    <row r="63" spans="1:13" x14ac:dyDescent="0.25">
      <c r="A63" s="1" t="s">
        <v>44</v>
      </c>
      <c r="B63" s="12">
        <v>-406</v>
      </c>
      <c r="C63" s="12">
        <v>163</v>
      </c>
      <c r="D63" s="12">
        <v>-11109</v>
      </c>
      <c r="H63" s="1" t="s">
        <v>91</v>
      </c>
    </row>
    <row r="64" spans="1:13" x14ac:dyDescent="0.25">
      <c r="A64" s="8" t="s">
        <v>45</v>
      </c>
      <c r="B64" s="13">
        <f t="shared" ref="B64:C64" si="53">+SUM(B61:B63)</f>
        <v>65339</v>
      </c>
      <c r="C64" s="13">
        <f t="shared" si="53"/>
        <v>63090</v>
      </c>
      <c r="D64" s="13">
        <f>+SUM(D61:D63)</f>
        <v>50672</v>
      </c>
      <c r="I64" s="27" t="str">
        <f>A38</f>
        <v>Total current assets</v>
      </c>
      <c r="J64" s="30" t="s">
        <v>155</v>
      </c>
      <c r="K64" s="29">
        <f>(C38-B38)/B38</f>
        <v>-6.176894226687913E-2</v>
      </c>
      <c r="L64" s="29">
        <f>(D38-C38)/C38</f>
        <v>4.2199412619775131E-3</v>
      </c>
    </row>
    <row r="65" spans="1:12" ht="15.75" thickBot="1" x14ac:dyDescent="0.3">
      <c r="A65" s="9" t="s">
        <v>46</v>
      </c>
      <c r="B65" s="14">
        <f t="shared" ref="B65:C65" si="54">+B64+B58</f>
        <v>323888</v>
      </c>
      <c r="C65" s="14">
        <f t="shared" si="54"/>
        <v>351002</v>
      </c>
      <c r="D65" s="14">
        <f>+D64+D58</f>
        <v>352755</v>
      </c>
      <c r="I65" t="str">
        <f>A43</f>
        <v>Total non current assets</v>
      </c>
      <c r="J65" s="30" t="s">
        <v>155</v>
      </c>
      <c r="K65" s="29">
        <f>(C43-B43)/B43</f>
        <v>0.19975579297904814</v>
      </c>
      <c r="L65" s="29">
        <f>(D43-C43)/C43</f>
        <v>5.4772720964443994E-3</v>
      </c>
    </row>
    <row r="66" spans="1:12" ht="15.75" thickTop="1" x14ac:dyDescent="0.25">
      <c r="I66" t="str">
        <f>A44</f>
        <v>Total assets</v>
      </c>
      <c r="J66" s="30" t="s">
        <v>155</v>
      </c>
      <c r="K66" s="29">
        <f>(C44-B44)/B44</f>
        <v>8.3714123400681711E-2</v>
      </c>
      <c r="L66" s="29">
        <f>(D44-C44)/C44</f>
        <v>4.9942735369029236E-3</v>
      </c>
    </row>
    <row r="67" spans="1:12" x14ac:dyDescent="0.25">
      <c r="A67" s="7" t="s">
        <v>152</v>
      </c>
      <c r="H67" s="1"/>
      <c r="I67" t="str">
        <f>A52</f>
        <v>Total current liabilities</v>
      </c>
      <c r="J67" s="30" t="s">
        <v>155</v>
      </c>
      <c r="K67" s="29">
        <f>(C52-B52)/B52</f>
        <v>0.19061219067860938</v>
      </c>
      <c r="L67" s="29">
        <f>(D52-C52)/C52</f>
        <v>0.22713398841258836</v>
      </c>
    </row>
    <row r="68" spans="1:12" x14ac:dyDescent="0.25">
      <c r="B68" s="7">
        <v>2020</v>
      </c>
      <c r="C68" s="7">
        <f>B68+1</f>
        <v>2021</v>
      </c>
      <c r="D68" s="7">
        <f>C68+1</f>
        <v>2022</v>
      </c>
      <c r="I68" t="str">
        <f>A57</f>
        <v>Total non current liabilities</v>
      </c>
      <c r="J68" s="30" t="s">
        <v>155</v>
      </c>
      <c r="K68" s="29">
        <f>(C57-B57)/B57</f>
        <v>6.0552243775994566E-2</v>
      </c>
      <c r="L68" s="29">
        <f>(D57-C57)/C57</f>
        <v>-8.8222075835277747E-2</v>
      </c>
    </row>
    <row r="69" spans="1:12" x14ac:dyDescent="0.25">
      <c r="I69" t="str">
        <f>A58</f>
        <v>Total liabilities</v>
      </c>
      <c r="J69" s="30" t="s">
        <v>155</v>
      </c>
      <c r="K69" s="29">
        <f>(C58-B58)/B58</f>
        <v>0.11356841449783213</v>
      </c>
      <c r="L69" s="29">
        <f>(D58-C58)/C58</f>
        <v>4.9219900525160468E-2</v>
      </c>
    </row>
    <row r="70" spans="1:12" x14ac:dyDescent="0.25">
      <c r="A70" s="7" t="s">
        <v>56</v>
      </c>
      <c r="I70" t="str">
        <f>A64</f>
        <v>Total shareholders’ equity</v>
      </c>
      <c r="J70" s="30" t="s">
        <v>155</v>
      </c>
      <c r="K70" s="29">
        <f>(C64-B64)/B64</f>
        <v>-3.4420483937617659E-2</v>
      </c>
      <c r="L70" s="29">
        <f>(D64-C64)/C64</f>
        <v>-0.19682992550324932</v>
      </c>
    </row>
    <row r="71" spans="1:12" x14ac:dyDescent="0.25">
      <c r="A71" t="s">
        <v>57</v>
      </c>
      <c r="B71">
        <v>57411</v>
      </c>
      <c r="C71">
        <v>94680</v>
      </c>
      <c r="D71">
        <v>99803</v>
      </c>
      <c r="I71" t="str">
        <f>A65</f>
        <v>Total liabilities and shareholders’ equity</v>
      </c>
      <c r="J71" s="30" t="s">
        <v>155</v>
      </c>
      <c r="K71" s="29">
        <f>(C65-B65)/B65</f>
        <v>8.3714123400681711E-2</v>
      </c>
      <c r="L71" s="29">
        <f>(D65-C65)/C65</f>
        <v>4.9942735369029236E-3</v>
      </c>
    </row>
    <row r="72" spans="1:12" x14ac:dyDescent="0.25">
      <c r="A72" s="11" t="s">
        <v>18</v>
      </c>
      <c r="B72" s="15"/>
      <c r="C72" s="15"/>
    </row>
    <row r="73" spans="1:12" x14ac:dyDescent="0.25">
      <c r="A73" s="1" t="s">
        <v>58</v>
      </c>
      <c r="B73" s="12"/>
      <c r="C73" s="12"/>
      <c r="H73" s="17" t="s">
        <v>92</v>
      </c>
    </row>
    <row r="74" spans="1:12" x14ac:dyDescent="0.25">
      <c r="A74" s="3" t="s">
        <v>59</v>
      </c>
      <c r="B74" s="12">
        <v>11056</v>
      </c>
      <c r="C74" s="12">
        <v>11284</v>
      </c>
      <c r="D74" s="12">
        <v>11104</v>
      </c>
      <c r="H74" s="1" t="s">
        <v>146</v>
      </c>
      <c r="J74" s="31">
        <f>B10/$B$6</f>
        <v>0.61766752272189129</v>
      </c>
      <c r="K74" s="31">
        <f t="shared" ref="K74:L74" si="55">C10/$B$6</f>
        <v>0.77584467151157499</v>
      </c>
      <c r="L74" s="31">
        <f t="shared" si="55"/>
        <v>0.81433072873977741</v>
      </c>
    </row>
    <row r="75" spans="1:12" x14ac:dyDescent="0.25">
      <c r="A75" s="3" t="s">
        <v>83</v>
      </c>
      <c r="B75" s="12">
        <v>6829</v>
      </c>
      <c r="C75" s="12">
        <v>7906</v>
      </c>
      <c r="D75" s="12">
        <v>9038</v>
      </c>
      <c r="H75" s="1" t="s">
        <v>89</v>
      </c>
      <c r="J75" s="31">
        <f>B11/$B$6</f>
        <v>0.38233247727810865</v>
      </c>
      <c r="K75" s="31">
        <f t="shared" ref="K75:L75" si="56">C11/$B$6</f>
        <v>0.55674917581917205</v>
      </c>
      <c r="L75" s="31">
        <f t="shared" si="56"/>
        <v>0.62212265267835998</v>
      </c>
    </row>
    <row r="76" spans="1:12" x14ac:dyDescent="0.25">
      <c r="A76" s="3" t="s">
        <v>60</v>
      </c>
      <c r="B76" s="12">
        <v>-215</v>
      </c>
      <c r="C76" s="12">
        <v>-4774</v>
      </c>
      <c r="D76" s="12">
        <v>895</v>
      </c>
      <c r="H76" s="1" t="s">
        <v>90</v>
      </c>
      <c r="J76" s="30"/>
      <c r="K76" s="30"/>
      <c r="L76" s="30"/>
    </row>
    <row r="77" spans="1:12" x14ac:dyDescent="0.25">
      <c r="A77" s="3" t="s">
        <v>61</v>
      </c>
      <c r="B77" s="12">
        <v>-97</v>
      </c>
      <c r="C77" s="12">
        <v>-147</v>
      </c>
      <c r="D77" s="12">
        <v>111</v>
      </c>
      <c r="I77" s="27" t="str">
        <f>A13</f>
        <v>Research and development</v>
      </c>
      <c r="J77" s="31">
        <f>B13/$B$6</f>
        <v>6.8309564140393061E-2</v>
      </c>
      <c r="K77" s="31">
        <f t="shared" ref="K77:L79" si="57">C13/$B$6</f>
        <v>7.9828060397428194E-2</v>
      </c>
      <c r="L77" s="31">
        <f t="shared" si="57"/>
        <v>9.5626832777808132E-2</v>
      </c>
    </row>
    <row r="78" spans="1:12" x14ac:dyDescent="0.25">
      <c r="A78" t="s">
        <v>62</v>
      </c>
      <c r="B78" s="12"/>
      <c r="C78" s="12"/>
      <c r="D78" s="12"/>
      <c r="I78" s="27" t="str">
        <f>A14</f>
        <v>Selling, general and administrative</v>
      </c>
      <c r="J78" s="31">
        <f t="shared" ref="J78:J79" si="58">B14/$B$6</f>
        <v>7.2549769593646979E-2</v>
      </c>
      <c r="K78" s="31">
        <f t="shared" si="57"/>
        <v>8.0042984900642947E-2</v>
      </c>
      <c r="L78" s="31">
        <f t="shared" si="57"/>
        <v>9.141212684188478E-2</v>
      </c>
    </row>
    <row r="79" spans="1:12" x14ac:dyDescent="0.25">
      <c r="A79" s="1" t="s">
        <v>28</v>
      </c>
      <c r="B79" s="12">
        <v>6917</v>
      </c>
      <c r="C79" s="12">
        <v>-10125</v>
      </c>
      <c r="D79" s="12">
        <v>-1823</v>
      </c>
      <c r="I79" s="27" t="str">
        <f>A15</f>
        <v>Total operating expenses</v>
      </c>
      <c r="J79" s="31">
        <f t="shared" si="58"/>
        <v>0.14085933373404003</v>
      </c>
      <c r="K79" s="31">
        <f t="shared" si="57"/>
        <v>0.15987104529807114</v>
      </c>
      <c r="L79" s="31">
        <f t="shared" si="57"/>
        <v>0.18703895961969291</v>
      </c>
    </row>
    <row r="80" spans="1:12" x14ac:dyDescent="0.25">
      <c r="A80" s="1" t="s">
        <v>29</v>
      </c>
      <c r="B80" s="12">
        <v>-127</v>
      </c>
      <c r="C80" s="12">
        <v>-2642</v>
      </c>
      <c r="D80" s="12">
        <v>1484</v>
      </c>
      <c r="H80" s="1" t="s">
        <v>14</v>
      </c>
      <c r="J80" s="31">
        <f>B16/B6</f>
        <v>0.24147314354406862</v>
      </c>
      <c r="K80" s="31">
        <f t="shared" ref="K80:L80" si="59">C16/C6</f>
        <v>0.29782377527561593</v>
      </c>
      <c r="L80" s="31">
        <f t="shared" si="59"/>
        <v>0.30288744395528594</v>
      </c>
    </row>
    <row r="81" spans="1:12" x14ac:dyDescent="0.25">
      <c r="A81" s="1" t="s">
        <v>47</v>
      </c>
      <c r="B81" s="12">
        <v>1553</v>
      </c>
      <c r="C81" s="12">
        <v>-3903</v>
      </c>
      <c r="D81" s="12">
        <v>-7520</v>
      </c>
      <c r="H81" s="1" t="s">
        <v>93</v>
      </c>
      <c r="J81" s="31">
        <f>B20/B6</f>
        <v>0.20913611278072236</v>
      </c>
      <c r="K81" s="31">
        <f t="shared" ref="K81:L81" si="60">C20/C6</f>
        <v>0.25881793355694238</v>
      </c>
      <c r="L81" s="31">
        <f t="shared" si="60"/>
        <v>0.25309640705199732</v>
      </c>
    </row>
    <row r="82" spans="1:12" x14ac:dyDescent="0.25">
      <c r="A82" s="1" t="s">
        <v>84</v>
      </c>
      <c r="B82" s="12">
        <v>-9588</v>
      </c>
      <c r="C82" s="12">
        <v>-8042</v>
      </c>
      <c r="D82" s="12">
        <v>-6499</v>
      </c>
      <c r="H82" s="1"/>
    </row>
    <row r="83" spans="1:12" x14ac:dyDescent="0.25">
      <c r="A83" s="1" t="s">
        <v>35</v>
      </c>
      <c r="B83" s="12">
        <v>-4062</v>
      </c>
      <c r="C83" s="12">
        <v>12326</v>
      </c>
      <c r="D83" s="12">
        <v>9448</v>
      </c>
      <c r="H83" s="17" t="s">
        <v>98</v>
      </c>
    </row>
    <row r="84" spans="1:12" x14ac:dyDescent="0.25">
      <c r="A84" s="1" t="s">
        <v>37</v>
      </c>
      <c r="B84" s="12">
        <v>2081</v>
      </c>
      <c r="C84" s="12">
        <v>1676</v>
      </c>
      <c r="D84" s="12">
        <v>478</v>
      </c>
      <c r="H84" s="1" t="s">
        <v>94</v>
      </c>
      <c r="J84" s="29">
        <f>B19/B18</f>
        <v>0.14428164731484103</v>
      </c>
      <c r="K84" s="29">
        <f t="shared" ref="K84:L84" si="61">C19/C18</f>
        <v>0.13302260844085087</v>
      </c>
      <c r="L84" s="29">
        <f t="shared" si="61"/>
        <v>0.16204461684424407</v>
      </c>
    </row>
    <row r="85" spans="1:12" x14ac:dyDescent="0.25">
      <c r="A85" s="1" t="s">
        <v>85</v>
      </c>
      <c r="B85" s="12">
        <v>8916</v>
      </c>
      <c r="C85" s="12">
        <v>5799</v>
      </c>
      <c r="D85" s="12">
        <v>5632</v>
      </c>
      <c r="H85" s="1" t="s">
        <v>95</v>
      </c>
      <c r="J85" s="29">
        <f>B41/B6</f>
        <v>0.13393075059650655</v>
      </c>
      <c r="K85" s="29">
        <f t="shared" ref="K85:L85" si="62">C41/C6</f>
        <v>0.10781346957631821</v>
      </c>
      <c r="L85" s="29">
        <f t="shared" si="62"/>
        <v>0.10680702359457102</v>
      </c>
    </row>
    <row r="86" spans="1:12" x14ac:dyDescent="0.25">
      <c r="A86" s="8" t="s">
        <v>63</v>
      </c>
      <c r="B86" s="13">
        <f>+SUM(B71:B85)</f>
        <v>80674</v>
      </c>
      <c r="C86" s="13">
        <f>+SUM(C71:C85)</f>
        <v>104038</v>
      </c>
      <c r="D86" s="13">
        <f>+SUM(D71:D85)</f>
        <v>122151</v>
      </c>
      <c r="H86" s="1" t="s">
        <v>96</v>
      </c>
      <c r="J86" s="29">
        <f>B41/B43</f>
        <v>0.20405716664354101</v>
      </c>
      <c r="K86" s="29">
        <f t="shared" ref="K86:L86" si="63">C41/C43</f>
        <v>0.18245237456399249</v>
      </c>
      <c r="L86" s="29">
        <f t="shared" si="63"/>
        <v>0.19377501725327811</v>
      </c>
    </row>
    <row r="87" spans="1:12" x14ac:dyDescent="0.25">
      <c r="A87" s="7" t="s">
        <v>64</v>
      </c>
      <c r="B87" s="12"/>
      <c r="C87" s="12"/>
      <c r="D87" s="12"/>
      <c r="H87" s="1"/>
    </row>
    <row r="88" spans="1:12" x14ac:dyDescent="0.25">
      <c r="A88" s="1" t="s">
        <v>65</v>
      </c>
      <c r="B88" s="12">
        <v>-114938</v>
      </c>
      <c r="C88" s="12">
        <v>-109558</v>
      </c>
      <c r="D88" s="12">
        <v>-76923</v>
      </c>
    </row>
    <row r="89" spans="1:12" x14ac:dyDescent="0.25">
      <c r="A89" s="1" t="s">
        <v>66</v>
      </c>
      <c r="B89" s="12">
        <v>69918</v>
      </c>
      <c r="C89" s="12">
        <v>59023</v>
      </c>
      <c r="D89" s="12">
        <v>29917</v>
      </c>
    </row>
    <row r="90" spans="1:12" x14ac:dyDescent="0.25">
      <c r="A90" s="1" t="s">
        <v>67</v>
      </c>
      <c r="B90" s="12">
        <v>50473</v>
      </c>
      <c r="C90" s="12">
        <v>47460</v>
      </c>
      <c r="D90" s="12">
        <v>37446</v>
      </c>
    </row>
    <row r="91" spans="1:12" x14ac:dyDescent="0.25">
      <c r="A91" s="1" t="s">
        <v>68</v>
      </c>
      <c r="B91" s="12">
        <v>-7309</v>
      </c>
      <c r="C91" s="12">
        <v>-11085</v>
      </c>
      <c r="D91" s="12">
        <v>-10708</v>
      </c>
      <c r="I91" s="26"/>
      <c r="J91" s="26"/>
      <c r="K91" s="26"/>
    </row>
    <row r="92" spans="1:12" x14ac:dyDescent="0.25">
      <c r="A92" s="1" t="s">
        <v>69</v>
      </c>
      <c r="B92" s="12">
        <v>-1524</v>
      </c>
      <c r="C92" s="12">
        <v>-33</v>
      </c>
      <c r="D92" s="12">
        <v>-306</v>
      </c>
      <c r="I92" s="26"/>
      <c r="J92" s="26"/>
      <c r="K92" s="26"/>
    </row>
    <row r="93" spans="1:12" x14ac:dyDescent="0.25">
      <c r="A93" s="1" t="s">
        <v>61</v>
      </c>
      <c r="B93" s="12">
        <v>-909</v>
      </c>
      <c r="C93" s="12">
        <v>-352</v>
      </c>
      <c r="D93" s="12">
        <v>-1780</v>
      </c>
      <c r="I93" s="26"/>
      <c r="J93" s="26"/>
      <c r="K93" s="26"/>
    </row>
    <row r="94" spans="1:12" x14ac:dyDescent="0.25">
      <c r="A94" s="8" t="s">
        <v>70</v>
      </c>
      <c r="B94" s="13">
        <f t="shared" ref="B94:C94" si="64">+SUM(B88:B93)</f>
        <v>-4289</v>
      </c>
      <c r="C94" s="13">
        <f t="shared" si="64"/>
        <v>-14545</v>
      </c>
      <c r="D94" s="13">
        <f>+SUM(D88:D93)</f>
        <v>-22354</v>
      </c>
      <c r="I94" s="26"/>
      <c r="J94" s="26"/>
      <c r="K94" s="26"/>
    </row>
    <row r="95" spans="1:12" x14ac:dyDescent="0.25">
      <c r="A95" s="7" t="s">
        <v>71</v>
      </c>
      <c r="B95" s="12"/>
      <c r="C95" s="12"/>
      <c r="D95" s="12"/>
      <c r="I95" s="26"/>
      <c r="J95" s="26"/>
      <c r="K95" s="26"/>
    </row>
    <row r="96" spans="1:12" x14ac:dyDescent="0.25">
      <c r="A96" s="1" t="s">
        <v>86</v>
      </c>
      <c r="B96" s="12">
        <v>-3634</v>
      </c>
      <c r="C96" s="12">
        <v>-6556</v>
      </c>
      <c r="D96" s="12">
        <v>-6223</v>
      </c>
      <c r="I96" s="26"/>
      <c r="J96" s="26"/>
      <c r="K96" s="26"/>
    </row>
    <row r="97" spans="1:11" x14ac:dyDescent="0.25">
      <c r="A97" s="1" t="s">
        <v>72</v>
      </c>
      <c r="B97" s="12">
        <v>-14081</v>
      </c>
      <c r="C97" s="12">
        <v>-14467</v>
      </c>
      <c r="D97" s="12">
        <v>-14841</v>
      </c>
      <c r="I97" s="26"/>
      <c r="J97" s="26"/>
      <c r="K97" s="26"/>
    </row>
    <row r="98" spans="1:11" x14ac:dyDescent="0.25">
      <c r="A98" s="1" t="s">
        <v>73</v>
      </c>
      <c r="B98" s="12">
        <v>-72358</v>
      </c>
      <c r="C98" s="12">
        <v>-85971</v>
      </c>
      <c r="D98" s="12">
        <v>-89402</v>
      </c>
      <c r="I98" s="26"/>
      <c r="J98" s="26"/>
      <c r="K98" s="26"/>
    </row>
    <row r="99" spans="1:11" x14ac:dyDescent="0.25">
      <c r="A99" s="1" t="s">
        <v>74</v>
      </c>
      <c r="B99" s="12">
        <v>16091</v>
      </c>
      <c r="C99" s="12">
        <v>20393</v>
      </c>
      <c r="D99" s="12">
        <v>5465</v>
      </c>
      <c r="I99" s="26"/>
      <c r="J99" s="26"/>
      <c r="K99" s="26"/>
    </row>
    <row r="100" spans="1:11" x14ac:dyDescent="0.25">
      <c r="A100" s="1" t="s">
        <v>75</v>
      </c>
      <c r="B100" s="12">
        <v>-12629</v>
      </c>
      <c r="C100" s="12">
        <v>-8750</v>
      </c>
      <c r="D100" s="12">
        <v>-9543</v>
      </c>
      <c r="I100" s="26"/>
      <c r="J100" s="26"/>
      <c r="K100" s="26"/>
    </row>
    <row r="101" spans="1:11" x14ac:dyDescent="0.25">
      <c r="A101" s="1" t="s">
        <v>76</v>
      </c>
      <c r="B101" s="12">
        <v>-963</v>
      </c>
      <c r="C101" s="12">
        <v>1022</v>
      </c>
      <c r="D101" s="12">
        <v>3955</v>
      </c>
    </row>
    <row r="102" spans="1:11" x14ac:dyDescent="0.25">
      <c r="A102" s="1" t="s">
        <v>61</v>
      </c>
      <c r="B102" s="12">
        <v>754</v>
      </c>
      <c r="C102" s="12">
        <v>976</v>
      </c>
      <c r="D102" s="12">
        <v>-160</v>
      </c>
    </row>
    <row r="103" spans="1:11" x14ac:dyDescent="0.25">
      <c r="A103" s="8" t="s">
        <v>77</v>
      </c>
      <c r="B103" s="13">
        <f t="shared" ref="B103:C103" si="65">+SUM(B96:B102)</f>
        <v>-86820</v>
      </c>
      <c r="C103" s="13">
        <f t="shared" si="65"/>
        <v>-93353</v>
      </c>
      <c r="D103" s="13">
        <f>+SUM(D96:D102)</f>
        <v>-110749</v>
      </c>
    </row>
    <row r="104" spans="1:11" x14ac:dyDescent="0.25">
      <c r="A104" s="8" t="s">
        <v>78</v>
      </c>
      <c r="B104" s="13">
        <f t="shared" ref="B104:C104" si="66">+B86+B94+B103</f>
        <v>-10435</v>
      </c>
      <c r="C104" s="13">
        <f t="shared" si="66"/>
        <v>-3860</v>
      </c>
      <c r="D104" s="13">
        <f>+D86+D94+D103</f>
        <v>-10952</v>
      </c>
    </row>
    <row r="105" spans="1:11" ht="15.75" thickBot="1" x14ac:dyDescent="0.3">
      <c r="A105" s="9" t="s">
        <v>79</v>
      </c>
      <c r="B105" s="14">
        <v>39789</v>
      </c>
      <c r="C105" s="14">
        <v>35929</v>
      </c>
      <c r="D105" s="14">
        <v>24977</v>
      </c>
    </row>
    <row r="106" spans="1:11" ht="15.75" thickTop="1" x14ac:dyDescent="0.25">
      <c r="B106" s="12"/>
      <c r="C106" s="12"/>
      <c r="D106" s="12"/>
    </row>
    <row r="107" spans="1:11" x14ac:dyDescent="0.25">
      <c r="A107" t="s">
        <v>80</v>
      </c>
      <c r="B107" s="12"/>
      <c r="C107" s="12"/>
      <c r="D107" s="12"/>
    </row>
    <row r="108" spans="1:11" x14ac:dyDescent="0.25">
      <c r="A108" t="s">
        <v>81</v>
      </c>
      <c r="B108" s="12">
        <v>9501</v>
      </c>
      <c r="C108" s="12">
        <v>25385</v>
      </c>
      <c r="D108" s="12">
        <v>19573</v>
      </c>
    </row>
    <row r="109" spans="1:11" x14ac:dyDescent="0.25">
      <c r="A109" t="s">
        <v>82</v>
      </c>
      <c r="B109" s="12">
        <v>3002</v>
      </c>
      <c r="C109" s="12">
        <v>2687</v>
      </c>
      <c r="D109" s="12">
        <v>2865</v>
      </c>
    </row>
    <row r="111" spans="1:11" x14ac:dyDescent="0.25">
      <c r="A111" t="s">
        <v>154</v>
      </c>
      <c r="B111" s="27">
        <f>B86-B109-B108-(B41+B74)</f>
        <v>20349</v>
      </c>
      <c r="C111" s="27">
        <f t="shared" ref="C111:D111" si="67">C86-C109-C108-(C41+C74)</f>
        <v>25242</v>
      </c>
      <c r="D111" s="27">
        <f t="shared" si="67"/>
        <v>46492</v>
      </c>
    </row>
    <row r="114" spans="1:4" ht="16.5" x14ac:dyDescent="0.3">
      <c r="A114" s="32"/>
      <c r="B114" s="27"/>
      <c r="C114" s="27"/>
      <c r="D114" s="27"/>
    </row>
    <row r="115" spans="1:4" ht="16.5" x14ac:dyDescent="0.3">
      <c r="A115" s="32"/>
      <c r="B115" s="27"/>
      <c r="C115" s="27"/>
      <c r="D115" s="27"/>
    </row>
    <row r="116" spans="1:4" ht="16.5" x14ac:dyDescent="0.3">
      <c r="A116" s="32"/>
      <c r="B116" s="27"/>
      <c r="C116" s="27"/>
      <c r="D116" s="27"/>
    </row>
    <row r="117" spans="1:4" ht="16.5" x14ac:dyDescent="0.3">
      <c r="A117" s="33"/>
      <c r="B117" s="27"/>
      <c r="C117" s="27"/>
      <c r="D11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Working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Chrispin Phiri</cp:lastModifiedBy>
  <dcterms:created xsi:type="dcterms:W3CDTF">2020-05-18T16:32:37Z</dcterms:created>
  <dcterms:modified xsi:type="dcterms:W3CDTF">2024-08-28T11:53:00Z</dcterms:modified>
</cp:coreProperties>
</file>