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-108" yWindow="-108" windowWidth="23256" windowHeight="12456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3" l="1"/>
  <c r="E45" i="3"/>
  <c r="D19" i="3" l="1"/>
  <c r="E19" i="3"/>
  <c r="C19" i="3"/>
  <c r="D18" i="3"/>
  <c r="E18" i="3"/>
  <c r="C18" i="3"/>
  <c r="C20" i="3" s="1"/>
  <c r="D50" i="3"/>
  <c r="C50" i="3"/>
  <c r="D51" i="3"/>
  <c r="E51" i="3"/>
  <c r="E50" i="3" s="1"/>
  <c r="C51" i="3"/>
  <c r="D52" i="3"/>
  <c r="C52" i="3"/>
  <c r="D40" i="3"/>
  <c r="E40" i="3"/>
  <c r="C40" i="3"/>
  <c r="D48" i="3"/>
  <c r="E48" i="3"/>
  <c r="C48" i="3"/>
  <c r="D47" i="3"/>
  <c r="E47" i="3"/>
  <c r="C47" i="3"/>
  <c r="D45" i="3"/>
  <c r="D46" i="3" s="1"/>
  <c r="E46" i="3"/>
  <c r="C45" i="3"/>
  <c r="C46" i="3" s="1"/>
  <c r="D44" i="3"/>
  <c r="E44" i="3"/>
  <c r="C44" i="3"/>
  <c r="D42" i="3"/>
  <c r="C42" i="3"/>
  <c r="D43" i="3"/>
  <c r="E43" i="3"/>
  <c r="E42" i="3" s="1"/>
  <c r="C43" i="3"/>
  <c r="D41" i="3"/>
  <c r="E41" i="3"/>
  <c r="C41" i="3"/>
  <c r="C38" i="2"/>
  <c r="B38" i="2"/>
  <c r="C37" i="2"/>
  <c r="C39" i="2" s="1"/>
  <c r="B37" i="2"/>
  <c r="B39" i="2" s="1"/>
  <c r="C36" i="2"/>
  <c r="D36" i="2"/>
  <c r="B36" i="2"/>
  <c r="C33" i="2"/>
  <c r="D33" i="2"/>
  <c r="B33" i="2"/>
  <c r="C32" i="2"/>
  <c r="D32" i="2"/>
  <c r="B32" i="2"/>
  <c r="C31" i="2"/>
  <c r="D31" i="2"/>
  <c r="B31" i="2"/>
  <c r="C30" i="2"/>
  <c r="D30" i="2"/>
  <c r="B30" i="2"/>
  <c r="C28" i="2"/>
  <c r="D28" i="2"/>
  <c r="B28" i="2"/>
  <c r="C27" i="2"/>
  <c r="D27" i="2"/>
  <c r="B27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6" i="2"/>
  <c r="B16" i="2"/>
  <c r="C15" i="2"/>
  <c r="B15" i="2"/>
  <c r="C13" i="2"/>
  <c r="B13" i="2"/>
  <c r="C12" i="2"/>
  <c r="B12" i="2"/>
  <c r="C11" i="2"/>
  <c r="B11" i="2"/>
  <c r="B10" i="2"/>
  <c r="C10" i="2"/>
  <c r="D37" i="3"/>
  <c r="D49" i="3" s="1"/>
  <c r="E37" i="3"/>
  <c r="E49" i="3" s="1"/>
  <c r="C37" i="3"/>
  <c r="C49" i="3" s="1"/>
  <c r="D36" i="3"/>
  <c r="E36" i="3"/>
  <c r="C36" i="3"/>
  <c r="D35" i="3"/>
  <c r="E35" i="3"/>
  <c r="C35" i="3"/>
  <c r="D34" i="3"/>
  <c r="E34" i="3"/>
  <c r="C34" i="3"/>
  <c r="D30" i="3"/>
  <c r="E30" i="3"/>
  <c r="C30" i="3"/>
  <c r="C29" i="3"/>
  <c r="E28" i="3"/>
  <c r="D28" i="3"/>
  <c r="D27" i="3"/>
  <c r="E27" i="3"/>
  <c r="C27" i="3"/>
  <c r="D25" i="3"/>
  <c r="E25" i="3"/>
  <c r="C25" i="3"/>
  <c r="D26" i="3"/>
  <c r="E26" i="3"/>
  <c r="C26" i="3"/>
  <c r="D22" i="3"/>
  <c r="E22" i="3"/>
  <c r="C22" i="3"/>
  <c r="E21" i="3"/>
  <c r="C21" i="3"/>
  <c r="D21" i="3"/>
  <c r="D20" i="3"/>
  <c r="E20" i="3"/>
  <c r="C17" i="3"/>
  <c r="D17" i="3"/>
  <c r="E17" i="3"/>
  <c r="D14" i="3"/>
  <c r="D13" i="3" s="1"/>
  <c r="E14" i="3"/>
  <c r="E13" i="3" s="1"/>
  <c r="C14" i="3"/>
  <c r="C13" i="3" s="1"/>
  <c r="D10" i="3"/>
  <c r="E10" i="3"/>
  <c r="C10" i="3"/>
  <c r="D11" i="3"/>
  <c r="E11" i="3"/>
  <c r="C11" i="3"/>
  <c r="D9" i="3"/>
  <c r="E9" i="3"/>
  <c r="C9" i="3"/>
  <c r="D8" i="3"/>
  <c r="E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12" i="3" l="1"/>
  <c r="E12" i="3"/>
  <c r="C12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<sst xmlns="http://schemas.openxmlformats.org/spreadsheetml/2006/main" count="212" uniqueCount="177">
  <si>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</si>
  <si>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</si>
  <si>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</si>
  <si>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</si>
  <si>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</si>
  <si>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</si>
  <si>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</si>
  <si>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</si>
  <si>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</si>
  <si>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</si>
  <si>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</si>
  <si>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</si>
  <si>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</si>
  <si>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</si>
  <si>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</si>
  <si>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</si>
  <si>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</si>
  <si>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</si>
  <si>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</si>
  <si>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</si>
  <si>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</si>
  <si>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</si>
  <si>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</si>
  <si>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</si>
  <si>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</si>
  <si>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</si>
  <si>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</si>
  <si>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</si>
  <si>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</si>
  <si>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</si>
  <si>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</si>
  <si>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</si>
  <si>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</si>
  <si>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</si>
  <si>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</si>
  <si>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</si>
  <si>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</si>
  <si>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</si>
  <si>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</si>
  <si>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</si>
  <si>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</si>
  <si>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</si>
  <si>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</si>
  <si>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</si>
  <si>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</si>
  <si>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</si>
  <si>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</si>
  <si>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</si>
  <si>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</si>
  <si>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</si>
  <si>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</si>
  <si>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</si>
  <si>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</si>
  <si>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</si>
  <si>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</si>
  <si>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</si>
  <si>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</si>
  <si>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</si>
  <si>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</si>
  <si>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</si>
  <si>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</si>
  <si>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</si>
  <si>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</si>
  <si>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</si>
  <si>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</si>
  <si>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</si>
  <si>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</si>
  <si>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</si>
  <si>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</si>
  <si>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</si>
  <si>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</si>
  <si>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</si>
  <si>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</si>
  <si>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</si>
  <si>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</si>
  <si>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</si>
  <si>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</si>
  <si>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</si>
  <si>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</si>
  <si>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</si>
  <si>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</si>
  <si>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</si>
  <si>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</si>
  <si>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</si>
  <si>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</si>
  <si>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</si>
  <si>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</si>
  <si>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</si>
  <si>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</si>
  <si>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</si>
  <si>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</si>
  <si>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</si>
  <si>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</si>
  <si>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</si>
  <si>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</si>
  <si>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</si>
  <si>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</si>
  <si>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</si>
  <si>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</si>
  <si>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</si>
  <si>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</si>
  <si>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</si>
  <si>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</si>
  <si>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</si>
  <si>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</si>
  <si>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</si>
  <si>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</si>
  <si>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</si>
  <si>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</si>
  <si>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</si>
  <si>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</si>
  <si>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</si>
  <si>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</si>
  <si>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</si>
  <si>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</si>
  <si>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</si>
  <si>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</si>
  <si>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</si>
  <si>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</si>
  <si>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</si>
  <si>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</si>
  <si>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</si>
  <si>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</si>
  <si>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</si>
  <si>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</si>
  <si>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</si>
  <si>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</si>
  <si>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</si>
  <si>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</si>
  <si>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</si>
  <si>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</si>
  <si>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</si>
  <si>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</si>
  <si>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</si>
  <si>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</si>
  <si>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</si>
  <si>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</si>
  <si>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</si>
  <si>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</si>
  <si>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</si>
  <si>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</si>
  <si>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</si>
  <si>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</si>
  <si>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</si>
  <si>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</si>
  <si>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</si>
  <si>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</si>
  <si>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</si>
  <si>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</si>
  <si>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Total debts (current + non-current liabilities)</t>
  </si>
  <si>
    <t>Net Sales</t>
  </si>
  <si>
    <t>Current Assets</t>
  </si>
  <si>
    <t>Non-current assets</t>
  </si>
  <si>
    <t>Current Liabilities</t>
  </si>
  <si>
    <t>Non-current Liabilities</t>
  </si>
  <si>
    <t>Total Liabilities</t>
  </si>
  <si>
    <t>Shareholders Equity</t>
  </si>
  <si>
    <t>Total  Shareholders Equity+ Total Liabilities</t>
  </si>
  <si>
    <t xml:space="preserve">Capex </t>
  </si>
  <si>
    <t>Not sure here</t>
  </si>
  <si>
    <t>Market Capitalisation</t>
  </si>
  <si>
    <t>Daily Operational Expenses = Annual Operating Expenses - Noncash Charges i.e. Depreciation &amp; Amortization</t>
  </si>
  <si>
    <t>(Accounts Receivable / Total Net Sales) x 365</t>
  </si>
  <si>
    <t>Should be operating income, not EBITDA</t>
  </si>
  <si>
    <t>Term debt (under long term liabilities)/Total shareholder equity</t>
  </si>
  <si>
    <t>Include only long term debt other items are not considered long term debt, rather they are liabilities</t>
  </si>
  <si>
    <t>For debt link only long term debt other items are not considered long term debt, rather they are liabilities</t>
  </si>
  <si>
    <t>Net Operating Income/ (Interest + Debt repayment)</t>
  </si>
  <si>
    <t>Cash from operations - Capex + Net debt issued</t>
  </si>
  <si>
    <t>FCFE/Diluted number of shares</t>
  </si>
  <si>
    <t>Net Sales / Total Assets</t>
  </si>
  <si>
    <t>Link Diluted number of shares and Note that the three statements are in millions and the share count is in absolute value, therefore multiply the number by 1000</t>
  </si>
  <si>
    <t>Link Diluted number of shares instead of basic. Remove 1000000 on numerator and remove brackets on denominator</t>
  </si>
  <si>
    <t>Link Diluted number of shares instead of basic. Remove 1000 multiplication and divide the share count by 1000 only</t>
  </si>
  <si>
    <t>Income tax charge in income statement/Profit before tax on income statement</t>
  </si>
  <si>
    <t>Purchase of property plant and equipment in cash flow statement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</si>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</sst>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0" fontId="0" fillId="0" borderId="0" xfId="0" applyNumberFormat="1"/>
    <xf numFmtId="0" fontId="8" fillId="0" borderId="0" xfId="0" applyFont="1"/>
    <xf numFmtId="2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1" applyFont="1"/>
    <xf numFmtId="0" fontId="0" fillId="0" borderId="0" xfId="0"/>
    <xf numFmtId="10" fontId="0" fillId="0" borderId="0" xfId="0" applyNumberFormat="1"/>
    <xf numFmtId="0" fontId="9" fillId="2" borderId="0" xfId="0" applyFont="1" applyFill="1"/>
    <xf numFmtId="0" fontId="10" fillId="2" borderId="0" xfId="0" applyFont="1" applyFill="1" applyAlignment="1">
      <alignment horizontal="center"/>
    </xf>
  </cellXfs>
  <cellStyles count="4">
    <cellStyle name="Comma" xfId="1" builtinId="3"/>
    <cellStyle name="Comma 2" xf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8" workbookViewId="0">
      <selection activeCell="E8" sqref="E8"/>
    </sheetView>
  </sheetViews>
  <sheetFormatPr defaultRowHeight="14.4" x14ac:dyDescent="0.3"/>
  <cols>
    <col min="1" max="1" width="104.5546875" customWidth="1"/>
    <col min="2" max="2" width="12" bestFit="1" customWidth="1"/>
    <col min="3" max="3" width="11" bestFit="1" customWidth="1"/>
    <col min="5" max="5" width="33.5546875" style="31" customWidth="1"/>
  </cols>
  <sheetData>
    <row r="1" spans="1:5" ht="23.4" x14ac:dyDescent="0.45">
      <c r="A1" s="5" t="s">
        <v>87</v>
      </c>
    </row>
    <row r="3" spans="1:5" x14ac:dyDescent="0.3">
      <c r="A3" s="7" t="s">
        <v>140</v>
      </c>
    </row>
    <row r="4" spans="1:5" x14ac:dyDescent="0.3">
      <c r="A4" s="16" t="s">
        <v>88</v>
      </c>
    </row>
    <row r="5" spans="1:5" x14ac:dyDescent="0.3">
      <c r="A5" s="7" t="s">
        <v>96</v>
      </c>
    </row>
    <row r="6" spans="1:5" x14ac:dyDescent="0.3">
      <c r="A6" s="1" t="s">
        <v>147</v>
      </c>
    </row>
    <row r="7" spans="1:5" x14ac:dyDescent="0.3">
      <c r="A7" s="1"/>
    </row>
    <row r="8" spans="1:5" x14ac:dyDescent="0.3">
      <c r="A8" s="17" t="s">
        <v>148</v>
      </c>
      <c r="B8">
        <v>2022</v>
      </c>
      <c r="C8">
        <v>2021</v>
      </c>
      <c r="D8">
        <v>2020</v>
      </c>
      <c r="E8" s="33" t="s">
        <v>176</v>
      </c>
    </row>
    <row r="9" spans="1:5" x14ac:dyDescent="0.3">
      <c r="A9" s="1" t="s">
        <v>144</v>
      </c>
    </row>
    <row r="10" spans="1:5" x14ac:dyDescent="0.3">
      <c r="A10" s="1" t="s">
        <v>4</v>
      </c>
      <c r="B10" s="23">
        <f>('Financial Statements'!B6-'Financial Statements'!C6)/'Financial Statements'!C6</f>
        <v>6.3239764351428418E-2</v>
      </c>
      <c r="C10" s="23">
        <f>('Financial Statements'!C6-'Financial Statements'!D6)/'Financial Statements'!D6</f>
        <v>0.34720743656765435</v>
      </c>
      <c r="D10" s="23"/>
      <c r="E10" s="32"/>
    </row>
    <row r="11" spans="1:5" x14ac:dyDescent="0.3">
      <c r="A11" s="1" t="s">
        <v>5</v>
      </c>
      <c r="B11" s="23">
        <f>('Financial Statements'!B7-'Financial Statements'!C7)/'Financial Statements'!C7</f>
        <v>0.14181951041286078</v>
      </c>
      <c r="C11" s="23">
        <f>('Financial Statements'!C7-'Financial Statements'!D7)/'Financial Statements'!C7</f>
        <v>0.21420533430763611</v>
      </c>
    </row>
    <row r="12" spans="1:5" x14ac:dyDescent="0.3">
      <c r="A12" s="1" t="s">
        <v>150</v>
      </c>
      <c r="B12" s="23">
        <f>('Financial Statements'!B8-'Financial Statements'!C8)/'Financial Statements'!C8</f>
        <v>7.7937876041846058E-2</v>
      </c>
      <c r="C12" s="23">
        <f>('Financial Statements'!C8-'Financial Statements'!D8)/'Financial Statements'!D8</f>
        <v>0.33259384733074693</v>
      </c>
    </row>
    <row r="13" spans="1:5" x14ac:dyDescent="0.3">
      <c r="A13" s="1" t="s">
        <v>89</v>
      </c>
      <c r="B13" s="23">
        <f>('Financial Statements'!B13-'Financial Statements'!C13)/'Financial Statements'!C13</f>
        <v>0.11741997958596143</v>
      </c>
      <c r="C13" s="23">
        <f>('Financial Statements'!C13-'Financial Statements'!D13)/'Financial Statements'!D13</f>
        <v>0.45619116582186819</v>
      </c>
    </row>
    <row r="14" spans="1:5" x14ac:dyDescent="0.3">
      <c r="A14" s="1" t="s">
        <v>90</v>
      </c>
    </row>
    <row r="15" spans="1:5" x14ac:dyDescent="0.3">
      <c r="A15" s="1" t="s">
        <v>11</v>
      </c>
      <c r="B15" s="23">
        <f>('Financial Statements'!B15-'Financial Statements'!C15)/'Financial Statements'!C15</f>
        <v>0.19791001186456147</v>
      </c>
      <c r="C15" s="23">
        <f>('Financial Statements'!C15-'Financial Statements'!D15)/'Financial Statements'!D15</f>
        <v>0.16862201365187712</v>
      </c>
    </row>
    <row r="16" spans="1:5" x14ac:dyDescent="0.3">
      <c r="A16" s="1" t="s">
        <v>12</v>
      </c>
      <c r="B16" s="23">
        <f>('Financial Statements'!B16-'Financial Statements'!C16)/'Financial Statements'!C16</f>
        <v>0.14203795567287125</v>
      </c>
      <c r="C16" s="23">
        <f>('Financial Statements'!C16-'Financial Statements'!D16)/'Financial Statements'!D16</f>
        <v>0.10328379192608958</v>
      </c>
    </row>
    <row r="17" spans="1:5" x14ac:dyDescent="0.3">
      <c r="A17" s="1" t="s">
        <v>91</v>
      </c>
    </row>
    <row r="18" spans="1:5" x14ac:dyDescent="0.3">
      <c r="A18" s="1" t="s">
        <v>151</v>
      </c>
      <c r="B18" s="23">
        <f>('Financial Statements'!B42-'Financial Statements'!C42)/'Financial Statements'!C42</f>
        <v>4.2199412619775131E-3</v>
      </c>
      <c r="C18" s="23">
        <f>('Financial Statements'!C42-'Financial Statements'!D42)/'Financial Statements'!D42</f>
        <v>-6.176894226687913E-2</v>
      </c>
    </row>
    <row r="19" spans="1:5" x14ac:dyDescent="0.3">
      <c r="A19" s="1" t="s">
        <v>152</v>
      </c>
      <c r="B19" s="23">
        <f>('Financial Statements'!B47-'Financial Statements'!C47)/'Financial Statements'!C47</f>
        <v>5.4772720964443994E-3</v>
      </c>
      <c r="C19" s="23">
        <f>('Financial Statements'!C47-'Financial Statements'!D47)/'Financial Statements'!D47</f>
        <v>0.19975579297904814</v>
      </c>
    </row>
    <row r="20" spans="1:5" x14ac:dyDescent="0.3">
      <c r="A20" s="1" t="s">
        <v>33</v>
      </c>
      <c r="B20" s="23">
        <f>('Financial Statements'!B48-'Financial Statements'!C48)/'Financial Statements'!C48</f>
        <v>4.9942735369029236E-3</v>
      </c>
      <c r="C20" s="23">
        <f>('Financial Statements'!C48-'Financial Statements'!D48)/'Financial Statements'!D48</f>
        <v>8.3714123400681711E-2</v>
      </c>
    </row>
    <row r="21" spans="1:5" x14ac:dyDescent="0.3">
      <c r="A21" s="1" t="s">
        <v>153</v>
      </c>
      <c r="B21" s="23">
        <f>('Financial Statements'!B56-'Financial Statements'!C56)/'Financial Statements'!C56</f>
        <v>0.22713398841258836</v>
      </c>
      <c r="C21" s="23">
        <f>('Financial Statements'!C56-'Financial Statements'!D56)/'Financial Statements'!D56</f>
        <v>0.19061219067860938</v>
      </c>
    </row>
    <row r="22" spans="1:5" ht="15" customHeight="1" x14ac:dyDescent="0.3">
      <c r="A22" s="1" t="s">
        <v>154</v>
      </c>
      <c r="B22" s="23">
        <f>('Financial Statements'!B61-'Financial Statements'!C61)/'Financial Statements'!C61</f>
        <v>-8.8222075835277747E-2</v>
      </c>
      <c r="C22" s="23">
        <f>('Financial Statements'!C61-'Financial Statements'!D61)/'Financial Statements'!D61</f>
        <v>6.0552243775994566E-2</v>
      </c>
    </row>
    <row r="23" spans="1:5" x14ac:dyDescent="0.3">
      <c r="A23" s="1" t="s">
        <v>155</v>
      </c>
      <c r="B23" s="23">
        <f>('Financial Statements'!B62-'Financial Statements'!C62)/'Financial Statements'!C62</f>
        <v>4.9219900525160468E-2</v>
      </c>
      <c r="C23" s="23">
        <f>('Financial Statements'!C62-'Financial Statements'!D62)/'Financial Statements'!D62</f>
        <v>0.11356841449783213</v>
      </c>
    </row>
    <row r="24" spans="1:5" x14ac:dyDescent="0.3">
      <c r="A24" s="1" t="s">
        <v>156</v>
      </c>
      <c r="B24" s="23">
        <f>('Financial Statements'!B68-'Financial Statements'!C68)/'Financial Statements'!C68</f>
        <v>-0.19682992550324932</v>
      </c>
      <c r="C24" s="23">
        <f>('Financial Statements'!C68-'Financial Statements'!D68)/'Financial Statements'!D68</f>
        <v>-3.4420483937617659E-2</v>
      </c>
    </row>
    <row r="25" spans="1:5" x14ac:dyDescent="0.3">
      <c r="A25" s="1" t="s">
        <v>157</v>
      </c>
      <c r="B25" s="23">
        <f>('Financial Statements'!B69-'Financial Statements'!C69)/'Financial Statements'!C69</f>
        <v>4.9942735369029236E-3</v>
      </c>
      <c r="C25" s="23">
        <f>('Financial Statements'!C69-'Financial Statements'!D69)/'Financial Statements'!D69</f>
        <v>8.3714123400681711E-2</v>
      </c>
    </row>
    <row r="26" spans="1:5" x14ac:dyDescent="0.3">
      <c r="A26" s="17" t="s">
        <v>92</v>
      </c>
    </row>
    <row r="27" spans="1:5" x14ac:dyDescent="0.3">
      <c r="A27" s="1" t="s">
        <v>145</v>
      </c>
      <c r="B27" s="23">
        <f>'Financial Statements'!B12/'Financial Statements'!B8</f>
        <v>0.56690369438639909</v>
      </c>
      <c r="C27" s="23">
        <f>'Financial Statements'!C12/'Financial Statements'!C8</f>
        <v>0.58220640374832222</v>
      </c>
      <c r="D27" s="23">
        <f>'Financial Statements'!D12/'Financial Statements'!D8</f>
        <v>0.61766752272189129</v>
      </c>
      <c r="E27" s="32"/>
    </row>
    <row r="28" spans="1:5" x14ac:dyDescent="0.3">
      <c r="A28" s="1" t="s">
        <v>89</v>
      </c>
      <c r="B28" s="23">
        <f>'Financial Statements'!B13/'Financial Statements'!B8</f>
        <v>0.43309630561360085</v>
      </c>
      <c r="C28" s="23">
        <f>'Financial Statements'!C13/'Financial Statements'!C8</f>
        <v>0.41779359625167778</v>
      </c>
      <c r="D28" s="23">
        <f>'Financial Statements'!D13/'Financial Statements'!D8</f>
        <v>0.38233247727810865</v>
      </c>
      <c r="E28" s="32"/>
    </row>
    <row r="29" spans="1:5" x14ac:dyDescent="0.3">
      <c r="A29" s="1" t="s">
        <v>90</v>
      </c>
    </row>
    <row r="30" spans="1:5" x14ac:dyDescent="0.3">
      <c r="A30" s="1" t="s">
        <v>11</v>
      </c>
      <c r="B30" s="23">
        <f>'Financial Statements'!B15/'Financial Statements'!B8</f>
        <v>6.657148363798665E-2</v>
      </c>
      <c r="C30" s="23">
        <f>'Financial Statements'!C15/'Financial Statements'!C8</f>
        <v>5.9904269074427925E-2</v>
      </c>
      <c r="D30" s="23">
        <f>'Financial Statements'!D15/'Financial Statements'!D8</f>
        <v>6.8309564140393061E-2</v>
      </c>
      <c r="E30" s="32"/>
    </row>
    <row r="31" spans="1:5" x14ac:dyDescent="0.3">
      <c r="A31" s="1" t="s">
        <v>12</v>
      </c>
      <c r="B31" s="23">
        <f>'Financial Statements'!B16/'Financial Statements'!B8</f>
        <v>6.3637378020328261E-2</v>
      </c>
      <c r="C31" s="23">
        <f>'Financial Statements'!C16/'Financial Statements'!C8</f>
        <v>6.006555190163388E-2</v>
      </c>
      <c r="D31" s="23">
        <f>'Financial Statements'!D16/'Financial Statements'!D8</f>
        <v>7.2549769593646979E-2</v>
      </c>
      <c r="E31" s="32"/>
    </row>
    <row r="32" spans="1:5" x14ac:dyDescent="0.3">
      <c r="A32" s="1" t="s">
        <v>14</v>
      </c>
      <c r="B32" s="23">
        <f>'Financial Statements'!B18/'Financial Statements'!B8</f>
        <v>0.30288744395528594</v>
      </c>
      <c r="C32" s="23">
        <f>'Financial Statements'!C18/'Financial Statements'!C8</f>
        <v>0.29782377527561593</v>
      </c>
      <c r="D32" s="23">
        <f>'Financial Statements'!D18/'Financial Statements'!D8</f>
        <v>0.24147314354406862</v>
      </c>
      <c r="E32" s="32"/>
    </row>
    <row r="33" spans="1:7" x14ac:dyDescent="0.3">
      <c r="A33" s="1" t="s">
        <v>93</v>
      </c>
      <c r="B33" s="23">
        <f>'Financial Statements'!B22/'Financial Statements'!B8</f>
        <v>0.25309640705199732</v>
      </c>
      <c r="C33" s="23">
        <f>'Financial Statements'!C22/'Financial Statements'!C8</f>
        <v>0.25881793355694238</v>
      </c>
      <c r="D33" s="23">
        <f>'Financial Statements'!D22/'Financial Statements'!D8</f>
        <v>0.20913611278072236</v>
      </c>
      <c r="E33" s="32"/>
    </row>
    <row r="34" spans="1:7" x14ac:dyDescent="0.3">
      <c r="A34" s="1"/>
    </row>
    <row r="35" spans="1:7" x14ac:dyDescent="0.3">
      <c r="A35" s="17" t="s">
        <v>97</v>
      </c>
    </row>
    <row r="36" spans="1:7" x14ac:dyDescent="0.3">
      <c r="A36" s="1" t="s">
        <v>94</v>
      </c>
      <c r="B36" s="23">
        <f>('Financial Statements'!B21-'Financial Statements'!B81)/'Financial Statements'!B20</f>
        <v>0.15453011259162239</v>
      </c>
      <c r="C36" s="23">
        <f>('Financial Statements'!C21-'Financial Statements'!C81)/'Financial Statements'!C20</f>
        <v>0.17673775490582105</v>
      </c>
      <c r="D36" s="23">
        <f>('Financial Statements'!D21-'Financial Statements'!D81)/'Financial Statements'!D20</f>
        <v>0.14748625001863142</v>
      </c>
      <c r="E36" s="32" t="s">
        <v>174</v>
      </c>
      <c r="F36" s="25" t="s">
        <v>159</v>
      </c>
      <c r="G36" s="25"/>
    </row>
    <row r="37" spans="1:7" x14ac:dyDescent="0.3">
      <c r="A37" s="1" t="s">
        <v>158</v>
      </c>
      <c r="B37" s="24">
        <f>'Financial Statements'!B45-'Financial Statements'!C45+'Financial Statements'!B79</f>
        <v>13781</v>
      </c>
      <c r="C37" s="24">
        <f>'Financial Statements'!C45-'Financial Statements'!D45+'Financial Statements'!C79</f>
        <v>13958</v>
      </c>
      <c r="D37" s="24"/>
      <c r="E37" s="24" t="s">
        <v>175</v>
      </c>
      <c r="F37" t="s">
        <v>159</v>
      </c>
    </row>
    <row r="38" spans="1:7" x14ac:dyDescent="0.3">
      <c r="A38" s="1" t="s">
        <v>95</v>
      </c>
      <c r="B38" s="23">
        <f>B37/'Financial Statements'!B8</f>
        <v>3.4948063541011543E-2</v>
      </c>
      <c r="C38" s="23">
        <f>C37/'Financial Statements'!C8</f>
        <v>3.8155689866791319E-2</v>
      </c>
      <c r="F38" t="s">
        <v>159</v>
      </c>
    </row>
    <row r="39" spans="1:7" x14ac:dyDescent="0.3">
      <c r="A39" s="1"/>
      <c r="B39" s="23">
        <f>B37/'Financial Statements'!B47</f>
        <v>6.3404646882907756E-2</v>
      </c>
      <c r="C39" s="23">
        <f>C37/'Financial Statements'!C47</f>
        <v>6.4570746555887598E-2</v>
      </c>
      <c r="F39" t="s">
        <v>159</v>
      </c>
    </row>
    <row r="40" spans="1:7" x14ac:dyDescent="0.3">
      <c r="A40" s="1"/>
    </row>
    <row r="41" spans="1:7" x14ac:dyDescent="0.3">
      <c r="A41" s="17" t="s">
        <v>143</v>
      </c>
    </row>
    <row r="42" spans="1:7" x14ac:dyDescent="0.3">
      <c r="A42" s="16" t="s">
        <v>142</v>
      </c>
      <c r="B42">
        <v>187.87</v>
      </c>
      <c r="C42">
        <v>155.69999999999999</v>
      </c>
      <c r="D42">
        <v>112.06</v>
      </c>
    </row>
    <row r="44" spans="1:7" x14ac:dyDescent="0.3">
      <c r="A44" s="7" t="s">
        <v>146</v>
      </c>
    </row>
  </sheetData>
  <hyperlinks>
    <hyperlink ref="A4" r:id="rId1"/>
    <hyperlink ref="A42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>
      <selection activeCell="D48" sqref="D48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7" max="7" width="11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9" t="s">
        <v>1</v>
      </c>
      <c r="B2" s="29"/>
      <c r="C2" s="29"/>
      <c r="D2" s="29"/>
    </row>
    <row r="3" spans="1:10" x14ac:dyDescent="0.3">
      <c r="B3" s="28" t="s">
        <v>23</v>
      </c>
      <c r="C3" s="28"/>
      <c r="D3" s="28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9" t="s">
        <v>24</v>
      </c>
      <c r="B31" s="29"/>
      <c r="C31" s="29"/>
      <c r="D31" s="29"/>
    </row>
    <row r="32" spans="1:4" x14ac:dyDescent="0.3">
      <c r="B32" s="28" t="s">
        <v>141</v>
      </c>
      <c r="C32" s="28"/>
      <c r="D32" s="28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9" t="s">
        <v>55</v>
      </c>
      <c r="B71" s="29"/>
      <c r="C71" s="29"/>
      <c r="D71" s="29"/>
    </row>
    <row r="72" spans="1:4" x14ac:dyDescent="0.3">
      <c r="B72" s="28" t="s">
        <v>23</v>
      </c>
      <c r="C72" s="28"/>
      <c r="D72" s="28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zoomScaleNormal="100" workbookViewId="0">
      <selection activeCell="F1" sqref="F1"/>
    </sheetView>
  </sheetViews>
  <sheetFormatPr defaultRowHeight="14.4" x14ac:dyDescent="0.3"/>
  <cols>
    <col min="1" max="1" width="4.6640625" customWidth="1"/>
    <col min="2" max="2" width="44.88671875" customWidth="1"/>
    <col min="3" max="3" width="15.88671875" customWidth="1"/>
    <col min="4" max="4" width="14" customWidth="1"/>
    <col min="5" max="5" width="11.6640625" customWidth="1"/>
    <col min="6" max="6" width="30.3320312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34" t="s">
        <v>176</v>
      </c>
      <c r="G1" s="19"/>
      <c r="H1" s="19"/>
      <c r="I1" s="19"/>
      <c r="J1" s="19"/>
    </row>
    <row r="2" spans="1:10" x14ac:dyDescent="0.3">
      <c r="C2" s="28" t="s">
        <v>23</v>
      </c>
      <c r="D2" s="28"/>
      <c r="E2" s="28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98</v>
      </c>
    </row>
    <row r="5" spans="1:10" x14ac:dyDescent="0.3">
      <c r="A5" s="18">
        <f>+A4+0.1</f>
        <v>1.1000000000000001</v>
      </c>
      <c r="B5" s="1" t="s">
        <v>99</v>
      </c>
      <c r="C5" s="26">
        <f>'Financial Statements'!B42/'Financial Statements'!B56</f>
        <v>0.87935602862672257</v>
      </c>
      <c r="D5" s="26">
        <f>'Financial Statements'!C42/'Financial Statements'!C56</f>
        <v>1.0745531195957954</v>
      </c>
      <c r="E5" s="26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100</v>
      </c>
      <c r="C6" s="26">
        <f>('Financial Statements'!B42-'Financial Statements'!B39)/'Financial Statements'!B56</f>
        <v>0.84723539114961488</v>
      </c>
      <c r="D6" s="26">
        <f>('Financial Statements'!C42-'Financial Statements'!C39)/'Financial Statements'!C56</f>
        <v>1.0221149018576519</v>
      </c>
      <c r="E6" s="26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101</v>
      </c>
      <c r="C7" s="26">
        <f>'Financial Statements'!B36/'Financial Statements'!B56</f>
        <v>0.15356340351469652</v>
      </c>
      <c r="D7" s="26">
        <f>'Financial Statements'!C36/'Financial Statements'!C56</f>
        <v>0.27844853005634318</v>
      </c>
      <c r="E7" s="26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102</v>
      </c>
      <c r="C8" s="26">
        <f>('Financial Statements'!B42-'Financial Statements'!B40-'Financial Statements'!B39-'Financial Statements'!B38)/('Financial Statements'!B12+'Financial Statements'!B17)/365</f>
        <v>6.9294713725385451E-4</v>
      </c>
      <c r="D8" s="26">
        <f>('Financial Statements'!C42-'Financial Statements'!C40-'Financial Statements'!C39-'Financial Statements'!C38)/('Financial Statements'!C12+'Financial Statements'!C17)/365</f>
        <v>8.186071157276878E-4</v>
      </c>
      <c r="E8" s="26">
        <f>('Financial Statements'!D42-'Financial Statements'!D40-'Financial Statements'!D39-'Financial Statements'!D38)/('Financial Statements'!D12+'Financial Statements'!D17)/365</f>
        <v>1.344778429705042E-3</v>
      </c>
      <c r="F8" t="s">
        <v>161</v>
      </c>
    </row>
    <row r="9" spans="1:10" x14ac:dyDescent="0.3">
      <c r="A9" s="18">
        <f t="shared" si="0"/>
        <v>1.5000000000000004</v>
      </c>
      <c r="B9" s="1" t="s">
        <v>103</v>
      </c>
      <c r="C9" s="26">
        <f>'Financial Statements'!B39/'Financial Statements'!B12*365</f>
        <v>8.0756980666171607</v>
      </c>
      <c r="D9" s="26">
        <f>'Financial Statements'!C39/'Financial Statements'!C12*365</f>
        <v>11.27659274770989</v>
      </c>
      <c r="E9" s="26">
        <f>'Financial Statements'!D39/'Financial Statements'!D12*365</f>
        <v>8.7418833562358831</v>
      </c>
    </row>
    <row r="10" spans="1:10" x14ac:dyDescent="0.3">
      <c r="A10" s="18">
        <f t="shared" si="0"/>
        <v>1.6000000000000005</v>
      </c>
      <c r="B10" s="1" t="s">
        <v>104</v>
      </c>
      <c r="C10" s="26">
        <f>'Financial Statements'!B51/'Financial Statements'!B12*365</f>
        <v>104.68527730310539</v>
      </c>
      <c r="D10" s="26">
        <f>'Financial Statements'!C51/'Financial Statements'!C12*365</f>
        <v>93.851071222315596</v>
      </c>
      <c r="E10" s="26">
        <f>'Financial Statements'!D51/'Financial Statements'!D12*365</f>
        <v>91.048189715674198</v>
      </c>
    </row>
    <row r="11" spans="1:10" x14ac:dyDescent="0.3">
      <c r="A11" s="18">
        <f t="shared" si="0"/>
        <v>1.7000000000000006</v>
      </c>
      <c r="B11" s="1" t="s">
        <v>105</v>
      </c>
      <c r="C11" s="26">
        <f>'Financial Statements'!B38/'Financial Statements'!B12*365</f>
        <v>46.018090236461397</v>
      </c>
      <c r="D11" s="26">
        <f>'Financial Statements'!C38/'Financial Statements'!C12*365</f>
        <v>45.034392739258436</v>
      </c>
      <c r="E11" s="26">
        <f>'Financial Statements'!D38/'Financial Statements'!D12*365</f>
        <v>34.700605688875257</v>
      </c>
      <c r="F11" t="s">
        <v>162</v>
      </c>
    </row>
    <row r="12" spans="1:10" x14ac:dyDescent="0.3">
      <c r="A12" s="18">
        <f t="shared" si="0"/>
        <v>1.8000000000000007</v>
      </c>
      <c r="B12" s="1" t="s">
        <v>106</v>
      </c>
      <c r="C12" s="27">
        <f>C9+C11-C10</f>
        <v>-50.59148900002684</v>
      </c>
      <c r="D12" s="27">
        <f t="shared" ref="D12:E12" si="1">D9+D11-D10</f>
        <v>-37.540085735347269</v>
      </c>
      <c r="E12" s="27">
        <f t="shared" si="1"/>
        <v>-47.60570067056306</v>
      </c>
    </row>
    <row r="13" spans="1:10" x14ac:dyDescent="0.3">
      <c r="A13" s="18">
        <f t="shared" si="0"/>
        <v>1.9000000000000008</v>
      </c>
      <c r="B13" s="1" t="s">
        <v>107</v>
      </c>
      <c r="C13" s="23">
        <f>'List of Ratios'!C14/'Financial Statements'!B8</f>
        <v>-4.711052727678481E-2</v>
      </c>
      <c r="D13" s="23">
        <f>'List of Ratios'!D14/'Financial Statements'!C8</f>
        <v>2.557289573748623E-2</v>
      </c>
      <c r="E13" s="23">
        <f>'List of Ratios'!E14/'Financial Statements'!D8</f>
        <v>0.13959528623208203</v>
      </c>
    </row>
    <row r="14" spans="1:10" x14ac:dyDescent="0.3">
      <c r="A14" s="18"/>
      <c r="B14" s="3" t="s">
        <v>108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109</v>
      </c>
    </row>
    <row r="17" spans="1:8" x14ac:dyDescent="0.3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8" x14ac:dyDescent="0.3">
      <c r="A18" s="18">
        <f>+A17+0.1</f>
        <v>2.2000000000000002</v>
      </c>
      <c r="B18" s="1" t="s">
        <v>110</v>
      </c>
      <c r="C18" s="23">
        <f>('Financial Statements'!B20+'Financial Statements'!B79)/'Financial Statements'!B8</f>
        <v>0.33019973220263332</v>
      </c>
      <c r="D18" s="23">
        <f>('Financial Statements'!C20+'Financial Statements'!C79)/'Financial Statements'!C8</f>
        <v>0.32937507004868555</v>
      </c>
      <c r="E18" s="23">
        <f>('Financial Statements'!D20+'Financial Statements'!D79)/'Financial Statements'!D8</f>
        <v>0.28467296869023551</v>
      </c>
    </row>
    <row r="19" spans="1:8" x14ac:dyDescent="0.3">
      <c r="A19" s="18"/>
      <c r="B19" s="3" t="s">
        <v>111</v>
      </c>
      <c r="C19">
        <f>'Financial Statements'!B20+'Financial Statements'!B79</f>
        <v>130207</v>
      </c>
      <c r="D19">
        <f>'Financial Statements'!C20+'Financial Statements'!C79</f>
        <v>120491</v>
      </c>
      <c r="E19">
        <f>'Financial Statements'!D20+'Financial Statements'!D79</f>
        <v>78147</v>
      </c>
    </row>
    <row r="20" spans="1:8" x14ac:dyDescent="0.3">
      <c r="A20" s="18">
        <f>+A18+0.1</f>
        <v>2.3000000000000003</v>
      </c>
      <c r="B20" s="1" t="s">
        <v>112</v>
      </c>
      <c r="C20" s="23">
        <f>C18</f>
        <v>0.33019973220263332</v>
      </c>
      <c r="D20" s="23">
        <f t="shared" ref="D20:E20" si="2">D18</f>
        <v>0.32937507004868555</v>
      </c>
      <c r="E20" s="23">
        <f t="shared" si="2"/>
        <v>0.28467296869023551</v>
      </c>
    </row>
    <row r="21" spans="1:8" x14ac:dyDescent="0.3">
      <c r="A21" s="18"/>
      <c r="B21" s="3" t="s">
        <v>113</v>
      </c>
      <c r="C21">
        <f>C19</f>
        <v>130207</v>
      </c>
      <c r="D21">
        <f t="shared" ref="D21:E21" si="3">D19</f>
        <v>120491</v>
      </c>
      <c r="E21">
        <f t="shared" si="3"/>
        <v>78147</v>
      </c>
      <c r="F21" t="s">
        <v>163</v>
      </c>
    </row>
    <row r="22" spans="1:8" x14ac:dyDescent="0.3">
      <c r="A22" s="18">
        <f>+A20+0.1</f>
        <v>2.4000000000000004</v>
      </c>
      <c r="B22" s="1" t="s">
        <v>114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8" x14ac:dyDescent="0.3">
      <c r="A23" s="18"/>
    </row>
    <row r="24" spans="1:8" x14ac:dyDescent="0.3">
      <c r="A24" s="18">
        <f>+A16+1</f>
        <v>3</v>
      </c>
      <c r="B24" s="7" t="s">
        <v>115</v>
      </c>
    </row>
    <row r="25" spans="1:8" x14ac:dyDescent="0.3">
      <c r="A25" s="18">
        <f>+A24+0.1</f>
        <v>3.1</v>
      </c>
      <c r="B25" s="1" t="s">
        <v>116</v>
      </c>
      <c r="C25" s="30">
        <f>'Financial Statements'!B62/'Financial Statements'!B68</f>
        <v>5.9615369434796337</v>
      </c>
      <c r="D25" s="30">
        <f>'Financial Statements'!C62/'Financial Statements'!C68</f>
        <v>4.5635124425423994</v>
      </c>
      <c r="E25" s="30">
        <f>'Financial Statements'!D62/'Financial Statements'!D68</f>
        <v>3.9570394404566951</v>
      </c>
      <c r="F25" s="31" t="s">
        <v>164</v>
      </c>
      <c r="H25" t="s">
        <v>149</v>
      </c>
    </row>
    <row r="26" spans="1:8" x14ac:dyDescent="0.3">
      <c r="A26" s="18">
        <f t="shared" ref="A26:A30" si="4">+A25+0.1</f>
        <v>3.2</v>
      </c>
      <c r="B26" s="1" t="s">
        <v>117</v>
      </c>
      <c r="C26" s="30">
        <f>'Financial Statements'!B62/'Financial Statements'!B48</f>
        <v>0.85635355983614692</v>
      </c>
      <c r="D26" s="30">
        <f>'Financial Statements'!C62/'Financial Statements'!C48</f>
        <v>0.82025743443057308</v>
      </c>
      <c r="E26" s="30">
        <f>'Financial Statements'!D62/'Financial Statements'!D48</f>
        <v>0.79826668477992391</v>
      </c>
      <c r="F26" s="31" t="s">
        <v>165</v>
      </c>
    </row>
    <row r="27" spans="1:8" x14ac:dyDescent="0.3">
      <c r="A27" s="18">
        <f t="shared" si="4"/>
        <v>3.3000000000000003</v>
      </c>
      <c r="B27" s="1" t="s">
        <v>118</v>
      </c>
      <c r="C27" s="30">
        <f>'Financial Statements'!B61/'Financial Statements'!B68</f>
        <v>2.9227383959583202</v>
      </c>
      <c r="D27" s="30">
        <f>'Financial Statements'!C61/'Financial Statements'!C68</f>
        <v>2.5745918529085432</v>
      </c>
      <c r="E27" s="30">
        <f>'Financial Statements'!D61/'Financial Statements'!D68</f>
        <v>2.3440364866312615</v>
      </c>
      <c r="F27" s="31" t="s">
        <v>166</v>
      </c>
    </row>
    <row r="28" spans="1:8" x14ac:dyDescent="0.3">
      <c r="A28" s="18">
        <f t="shared" si="4"/>
        <v>3.4000000000000004</v>
      </c>
      <c r="B28" s="1" t="s">
        <v>119</v>
      </c>
      <c r="D28" s="26">
        <f>'Financial Statements'!C22/'Financial Statements'!C19</f>
        <v>366.97674418604652</v>
      </c>
      <c r="E28" s="26">
        <f>'Financial Statements'!D22/'Financial Statements'!D19</f>
        <v>71.495641344956411</v>
      </c>
      <c r="F28" s="31"/>
    </row>
    <row r="29" spans="1:8" x14ac:dyDescent="0.3">
      <c r="A29" s="18">
        <f t="shared" si="4"/>
        <v>3.5000000000000004</v>
      </c>
      <c r="B29" s="1" t="s">
        <v>120</v>
      </c>
      <c r="C29" s="26">
        <f>'Financial Statements'!B22/-'Financial Statements'!B19</f>
        <v>298.81137724550899</v>
      </c>
      <c r="F29" s="31" t="s">
        <v>167</v>
      </c>
    </row>
    <row r="30" spans="1:8" x14ac:dyDescent="0.3">
      <c r="A30" s="18">
        <f t="shared" si="4"/>
        <v>3.6000000000000005</v>
      </c>
      <c r="B30" s="1" t="s">
        <v>121</v>
      </c>
      <c r="C30">
        <f>('Financial Statements'!B91+'Financial Statements'!B99)/'Financial Statements'!B27</f>
        <v>6.1542444318601367E-3</v>
      </c>
      <c r="D30">
        <f>('Financial Statements'!C91+'Financial Statements'!C99)/'Financial Statements'!C27</f>
        <v>5.358454134511431E-3</v>
      </c>
      <c r="E30">
        <f>('Financial Statements'!D91+'Financial Statements'!D99)/'Financial Statements'!D27</f>
        <v>4.4020560255493869E-3</v>
      </c>
      <c r="F30" t="s">
        <v>169</v>
      </c>
    </row>
    <row r="31" spans="1:8" x14ac:dyDescent="0.3">
      <c r="A31" s="18"/>
      <c r="B31" s="3" t="s">
        <v>122</v>
      </c>
      <c r="F31" s="31" t="s">
        <v>168</v>
      </c>
    </row>
    <row r="32" spans="1:8" x14ac:dyDescent="0.3">
      <c r="A32" s="18"/>
    </row>
    <row r="33" spans="1:6" x14ac:dyDescent="0.3">
      <c r="A33" s="18">
        <f>+A24+1</f>
        <v>4</v>
      </c>
      <c r="B33" s="17" t="s">
        <v>123</v>
      </c>
    </row>
    <row r="34" spans="1:6" x14ac:dyDescent="0.3">
      <c r="A34" s="18">
        <f>+A33+0.1</f>
        <v>4.0999999999999996</v>
      </c>
      <c r="B34" s="1" t="s">
        <v>124</v>
      </c>
      <c r="C34" s="26">
        <f>'Financial Statements'!B8/('Financial Statements'!B48-'Financial Statements'!B56)</f>
        <v>1.9838106785126752</v>
      </c>
      <c r="D34" s="26">
        <f>'Financial Statements'!C8/('Financial Statements'!C48-'Financial Statements'!C56)</f>
        <v>1.6220972769719892</v>
      </c>
      <c r="E34" s="26">
        <f>'Financial Statements'!D8/('Financial Statements'!D48-'Financial Statements'!D56)</f>
        <v>1.2563845562390159</v>
      </c>
      <c r="F34" s="31" t="s">
        <v>170</v>
      </c>
    </row>
    <row r="35" spans="1:6" x14ac:dyDescent="0.3">
      <c r="A35" s="18">
        <f t="shared" ref="A35:A37" si="5">+A34+0.1</f>
        <v>4.1999999999999993</v>
      </c>
      <c r="B35" s="1" t="s">
        <v>125</v>
      </c>
      <c r="C35" s="26">
        <f>'Financial Statements'!B8/('Financial Statements'!B42-'Financial Statements'!B56)</f>
        <v>-21.226678150401032</v>
      </c>
      <c r="D35" s="26">
        <f>'Financial Statements'!C8/('Financial Statements'!C42-'Financial Statements'!C56)</f>
        <v>39.103901656867983</v>
      </c>
      <c r="E35" s="26">
        <f>'Financial Statements'!D8/('Financial Statements'!D42-'Financial Statements'!D56)</f>
        <v>7.1635656689543596</v>
      </c>
      <c r="F35" s="31" t="s">
        <v>170</v>
      </c>
    </row>
    <row r="36" spans="1:6" x14ac:dyDescent="0.3">
      <c r="A36" s="18">
        <f t="shared" si="5"/>
        <v>4.2999999999999989</v>
      </c>
      <c r="B36" s="1" t="s">
        <v>126</v>
      </c>
      <c r="C36" s="26">
        <f>'Financial Statements'!B8/'Financial Statements'!B39</f>
        <v>79.726647796198947</v>
      </c>
      <c r="D36" s="26">
        <f>'Financial Statements'!C8/'Financial Statements'!C39</f>
        <v>55.595288753799394</v>
      </c>
      <c r="E36" s="26">
        <f>'Financial Statements'!D8/'Financial Statements'!D39</f>
        <v>67.597882295001227</v>
      </c>
    </row>
    <row r="37" spans="1:6" x14ac:dyDescent="0.3">
      <c r="A37" s="18">
        <f t="shared" si="5"/>
        <v>4.3999999999999986</v>
      </c>
      <c r="B37" s="1" t="s">
        <v>127</v>
      </c>
      <c r="C37" s="26">
        <f>'Financial Statements'!B20/'Financial Statements'!B48</f>
        <v>0.33763660330824508</v>
      </c>
      <c r="D37" s="26">
        <f>'Financial Statements'!C20/'Financial Statements'!C48</f>
        <v>0.31112928131463641</v>
      </c>
      <c r="E37" s="26">
        <f>'Financial Statements'!D20/'Financial Statements'!D48</f>
        <v>0.2071425925011115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128</v>
      </c>
    </row>
    <row r="40" spans="1:6" x14ac:dyDescent="0.3">
      <c r="A40" s="18">
        <f>+A39+0.1</f>
        <v>5.0999999999999996</v>
      </c>
      <c r="B40" s="1" t="s">
        <v>129</v>
      </c>
      <c r="C40" s="26">
        <f>Instructions!B42/'List of Ratios'!C41</f>
        <v>30.547967479674796</v>
      </c>
      <c r="D40" s="26">
        <f>Instructions!C42/'List of Ratios'!D41</f>
        <v>27.460317460317459</v>
      </c>
      <c r="E40" s="26">
        <f>Instructions!D42/'List of Ratios'!E41</f>
        <v>33.854984894259822</v>
      </c>
    </row>
    <row r="41" spans="1:6" x14ac:dyDescent="0.3">
      <c r="A41" s="18">
        <f t="shared" ref="A41:A44" si="6">+A40+0.1</f>
        <v>5.1999999999999993</v>
      </c>
      <c r="B41" s="3" t="s">
        <v>130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6" x14ac:dyDescent="0.3">
      <c r="A42" s="18">
        <f t="shared" si="6"/>
        <v>5.2999999999999989</v>
      </c>
      <c r="B42" s="1" t="s">
        <v>131</v>
      </c>
      <c r="C42" s="26">
        <f>187.87/C43</f>
        <v>60121.822087346074</v>
      </c>
      <c r="D42" s="26">
        <f t="shared" ref="D42:E42" si="7">187.87/D43</f>
        <v>49733.206064986531</v>
      </c>
      <c r="E42" s="26">
        <f t="shared" si="7"/>
        <v>49892.753126463525</v>
      </c>
    </row>
    <row r="43" spans="1:6" x14ac:dyDescent="0.3">
      <c r="A43" s="18">
        <f t="shared" si="6"/>
        <v>5.3999999999999986</v>
      </c>
      <c r="B43" s="3" t="s">
        <v>132</v>
      </c>
      <c r="C43" s="26">
        <f>'Financial Statements'!B68/'Financial Statements'!B27</f>
        <v>3.124822127430853E-3</v>
      </c>
      <c r="D43" s="26">
        <f>'Financial Statements'!C68/'Financial Statements'!C27</f>
        <v>3.7775565837141027E-3</v>
      </c>
      <c r="E43" s="26">
        <f>'Financial Statements'!D68/'Financial Statements'!D27</f>
        <v>3.7654767120949319E-3</v>
      </c>
      <c r="F43" s="31" t="s">
        <v>171</v>
      </c>
    </row>
    <row r="44" spans="1:6" x14ac:dyDescent="0.3">
      <c r="A44" s="18">
        <f t="shared" si="6"/>
        <v>5.4999999999999982</v>
      </c>
      <c r="B44" s="1" t="s">
        <v>133</v>
      </c>
      <c r="C44" s="26">
        <f>-'Financial Statements'!B102/'Financial Statements'!B22*100</f>
        <v>14.870294480125848</v>
      </c>
      <c r="D44" s="26">
        <f>-'Financial Statements'!C102/'Financial Statements'!C22*100</f>
        <v>15.279890156316011</v>
      </c>
      <c r="E44" s="26">
        <f>-'Financial Statements'!D102/'Financial Statements'!D22*100</f>
        <v>24.526658654264864</v>
      </c>
    </row>
    <row r="45" spans="1:6" x14ac:dyDescent="0.3">
      <c r="A45" s="18"/>
      <c r="B45" s="3" t="s">
        <v>134</v>
      </c>
      <c r="C45" s="26">
        <f>-'Financial Statements'!B102*1000000/('Financial Statements'!B27*1000)</f>
        <v>0.91520929099307891</v>
      </c>
      <c r="D45" s="26">
        <f>-'Financial Statements'!C102*1000000/('Financial Statements'!C27*1000)</f>
        <v>0.86622144708498849</v>
      </c>
      <c r="E45" s="26">
        <f>-'Financial Statements'!D102*1000000/('Financial Statements'!D27*1000)</f>
        <v>0.81148590555424382</v>
      </c>
      <c r="F45" t="s">
        <v>172</v>
      </c>
    </row>
    <row r="46" spans="1:6" x14ac:dyDescent="0.3">
      <c r="A46" s="18">
        <f>+A44+0.1</f>
        <v>5.5999999999999979</v>
      </c>
      <c r="B46" s="1" t="s">
        <v>135</v>
      </c>
      <c r="C46" s="23">
        <f>C45/187.87</f>
        <v>4.871503119141315E-3</v>
      </c>
      <c r="D46" s="23">
        <f t="shared" ref="D46:E46" si="8">D45/187.87</f>
        <v>4.610749172752374E-3</v>
      </c>
      <c r="E46" s="23">
        <f t="shared" si="8"/>
        <v>4.3194012112324686E-3</v>
      </c>
    </row>
    <row r="47" spans="1:6" x14ac:dyDescent="0.3">
      <c r="A47" s="18">
        <f t="shared" ref="A47:A50" si="9">+A45+0.1</f>
        <v>0.1</v>
      </c>
      <c r="B47" s="1" t="s">
        <v>136</v>
      </c>
      <c r="C47" s="26">
        <f>'Financial Statements'!B22/'Financial Statements'!B68</f>
        <v>1.9695887275023682</v>
      </c>
      <c r="D47" s="26">
        <f>'Financial Statements'!C22/'Financial Statements'!C68</f>
        <v>1.5007132667617689</v>
      </c>
      <c r="E47" s="26">
        <f>'Financial Statements'!D22/'Financial Statements'!D68</f>
        <v>0.87866358530127486</v>
      </c>
    </row>
    <row r="48" spans="1:6" x14ac:dyDescent="0.3">
      <c r="A48" s="18">
        <f t="shared" si="9"/>
        <v>5.6999999999999975</v>
      </c>
      <c r="B48" s="1" t="s">
        <v>137</v>
      </c>
      <c r="C48" s="23">
        <f>'Financial Statements'!B20/('Financial Statements'!B61+'Financial Statements'!B68)</f>
        <v>0.59919103701206899</v>
      </c>
      <c r="D48" s="23">
        <f>'Financial Statements'!C20/('Financial Statements'!C61+'Financial Statements'!C68)</f>
        <v>0.48424315252238148</v>
      </c>
      <c r="E48" s="23">
        <f>'Financial Statements'!D20/('Financial Statements'!D61+'Financial Statements'!D68)</f>
        <v>0.30705825278265964</v>
      </c>
    </row>
    <row r="49" spans="1:6" x14ac:dyDescent="0.3">
      <c r="A49" s="18">
        <f t="shared" si="9"/>
        <v>0.2</v>
      </c>
      <c r="B49" s="1" t="s">
        <v>127</v>
      </c>
      <c r="C49" s="26">
        <f>C37</f>
        <v>0.33763660330824508</v>
      </c>
      <c r="D49" s="26">
        <f t="shared" ref="D49:E49" si="10">D37</f>
        <v>0.31112928131463641</v>
      </c>
      <c r="E49" s="26">
        <f t="shared" si="10"/>
        <v>0.2071425925011115</v>
      </c>
    </row>
    <row r="50" spans="1:6" x14ac:dyDescent="0.3">
      <c r="A50" s="18">
        <f t="shared" si="9"/>
        <v>5.7999999999999972</v>
      </c>
      <c r="B50" s="1" t="s">
        <v>138</v>
      </c>
      <c r="C50" s="24">
        <f>C51/C19</f>
        <v>25.535723646270938</v>
      </c>
      <c r="D50" s="24">
        <f t="shared" ref="D50:E50" si="11">D51/D19</f>
        <v>23.681105231096097</v>
      </c>
      <c r="E50" s="24">
        <f t="shared" si="11"/>
        <v>27.70434508221685</v>
      </c>
    </row>
    <row r="51" spans="1:6" x14ac:dyDescent="0.3">
      <c r="A51" s="18"/>
      <c r="B51" s="3" t="s">
        <v>139</v>
      </c>
      <c r="C51" s="26">
        <f>C52+'Financial Statements'!B62-'Financial Statements'!B36</f>
        <v>3324929.96881</v>
      </c>
      <c r="D51" s="26">
        <f>D52+'Financial Statements'!C62-'Financial Statements'!C36</f>
        <v>2853360.0504000001</v>
      </c>
      <c r="E51" s="26">
        <f>E52+'Financial Statements'!D62-'Financial Statements'!D36</f>
        <v>2165011.4551400002</v>
      </c>
    </row>
    <row r="52" spans="1:6" x14ac:dyDescent="0.3">
      <c r="B52" s="1" t="s">
        <v>160</v>
      </c>
      <c r="C52" s="26">
        <f>1000*Instructions!B42*'Financial Statements'!B27/1000000</f>
        <v>3046492.96881</v>
      </c>
      <c r="D52" s="26">
        <f>1000*Instructions!C42*'Financial Statements'!C27/1000000</f>
        <v>2600388.0504000001</v>
      </c>
      <c r="E52" s="26">
        <f>1000*Instructions!D42*'Financial Statements'!D27/1000000</f>
        <v>1944478.45514</v>
      </c>
      <c r="F52" t="s">
        <v>173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2023-09-01T18:51:56Z</dcterms:modified>
</cp:coreProperties>
</file>