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IA WORK\"/>
    </mc:Choice>
  </mc:AlternateContent>
  <bookViews>
    <workbookView xWindow="0" yWindow="0" windowWidth="23040" windowHeight="9264" activeTab="2"/>
  </bookViews>
  <sheets>
    <sheet name="Instructions" sheetId="2" r:id="rId1"/>
    <sheet name="Financial Statements" sheetId="1" r:id="rId2"/>
    <sheet name="List of Ratios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3" l="1"/>
  <c r="D52" i="3" l="1"/>
  <c r="E52" i="3"/>
  <c r="C52" i="3"/>
  <c r="D45" i="3"/>
  <c r="E45" i="3"/>
  <c r="C45" i="3"/>
  <c r="D43" i="3"/>
  <c r="E43" i="3"/>
  <c r="C43" i="3"/>
  <c r="D35" i="3"/>
  <c r="E35" i="3"/>
  <c r="C35" i="3"/>
  <c r="D34" i="3"/>
  <c r="E34" i="3"/>
  <c r="C34" i="3"/>
  <c r="D31" i="3"/>
  <c r="D30" i="3" s="1"/>
  <c r="E31" i="3"/>
  <c r="C31" i="3"/>
  <c r="C30" i="3" s="1"/>
  <c r="D29" i="3"/>
  <c r="E29" i="3"/>
  <c r="C29" i="3"/>
  <c r="D27" i="3"/>
  <c r="E27" i="3"/>
  <c r="C27" i="3"/>
  <c r="D26" i="3"/>
  <c r="E26" i="3"/>
  <c r="C26" i="3"/>
  <c r="D25" i="3"/>
  <c r="E25" i="3"/>
  <c r="C25" i="3"/>
  <c r="D21" i="3"/>
  <c r="E21" i="3"/>
  <c r="C21" i="3"/>
  <c r="D11" i="3"/>
  <c r="E11" i="3"/>
  <c r="C11" i="3"/>
  <c r="D8" i="3"/>
  <c r="E8" i="3"/>
  <c r="C9" i="3"/>
  <c r="C10" i="3"/>
  <c r="C12" i="3"/>
  <c r="C13" i="3"/>
  <c r="C14" i="3"/>
  <c r="C8" i="3"/>
  <c r="C39" i="2"/>
  <c r="D39" i="2"/>
  <c r="B39" i="2"/>
  <c r="C38" i="2"/>
  <c r="D38" i="2"/>
  <c r="B38" i="2"/>
  <c r="C37" i="2"/>
  <c r="D37" i="2"/>
  <c r="B37" i="2"/>
  <c r="C36" i="2" l="1"/>
  <c r="D36" i="2"/>
  <c r="B36" i="2"/>
  <c r="D46" i="3" l="1"/>
  <c r="E46" i="3"/>
  <c r="C46" i="3"/>
  <c r="D41" i="3"/>
  <c r="D40" i="3" s="1"/>
  <c r="E41" i="3"/>
  <c r="E40" i="3" s="1"/>
  <c r="C41" i="3"/>
  <c r="C40" i="3" s="1"/>
  <c r="C16" i="2"/>
  <c r="B16" i="2"/>
  <c r="C15" i="2"/>
  <c r="B15" i="2"/>
  <c r="C11" i="2"/>
  <c r="B11" i="2"/>
  <c r="B10" i="2"/>
  <c r="C10" i="2"/>
  <c r="D108" i="1"/>
  <c r="C108" i="1"/>
  <c r="B108" i="1"/>
  <c r="D99" i="1"/>
  <c r="C99" i="1"/>
  <c r="B99" i="1"/>
  <c r="D68" i="1" l="1"/>
  <c r="E42" i="3" s="1"/>
  <c r="C68" i="1"/>
  <c r="B68" i="1"/>
  <c r="D61" i="1"/>
  <c r="C61" i="1"/>
  <c r="B61" i="1"/>
  <c r="D56" i="1"/>
  <c r="E7" i="3" s="1"/>
  <c r="C56" i="1"/>
  <c r="B56" i="1"/>
  <c r="D47" i="1"/>
  <c r="C47" i="1"/>
  <c r="C19" i="2" s="1"/>
  <c r="B47" i="1"/>
  <c r="D42" i="1"/>
  <c r="C42" i="1"/>
  <c r="B42" i="1"/>
  <c r="D17" i="1"/>
  <c r="C17" i="1"/>
  <c r="B17" i="1"/>
  <c r="D12" i="1"/>
  <c r="C12" i="1"/>
  <c r="B12" i="1"/>
  <c r="D8" i="1"/>
  <c r="C8" i="1"/>
  <c r="B8" i="1"/>
  <c r="E3" i="3"/>
  <c r="D3" i="3"/>
  <c r="C3" i="3"/>
  <c r="D33" i="1"/>
  <c r="D73" i="1" s="1"/>
  <c r="C33" i="1"/>
  <c r="C73" i="1" s="1"/>
  <c r="B33" i="1"/>
  <c r="B73" i="1" s="1"/>
  <c r="B27" i="2" l="1"/>
  <c r="E6" i="3"/>
  <c r="E5" i="3"/>
  <c r="E14" i="3"/>
  <c r="E13" i="3" s="1"/>
  <c r="C22" i="2"/>
  <c r="C27" i="2"/>
  <c r="D10" i="3"/>
  <c r="D9" i="3"/>
  <c r="B19" i="2"/>
  <c r="D27" i="2"/>
  <c r="E10" i="3"/>
  <c r="E9" i="3"/>
  <c r="E12" i="3" s="1"/>
  <c r="C42" i="3"/>
  <c r="B24" i="2"/>
  <c r="B62" i="1"/>
  <c r="B21" i="2"/>
  <c r="C7" i="3"/>
  <c r="B13" i="1"/>
  <c r="B31" i="2"/>
  <c r="B12" i="2"/>
  <c r="B30" i="2"/>
  <c r="C36" i="3"/>
  <c r="C62" i="1"/>
  <c r="C21" i="2"/>
  <c r="D7" i="3"/>
  <c r="C13" i="1"/>
  <c r="C12" i="2"/>
  <c r="C30" i="2"/>
  <c r="D36" i="3"/>
  <c r="C31" i="2"/>
  <c r="B48" i="1"/>
  <c r="B20" i="2" s="1"/>
  <c r="C6" i="3"/>
  <c r="B18" i="2"/>
  <c r="C5" i="3"/>
  <c r="D13" i="1"/>
  <c r="D31" i="2"/>
  <c r="D30" i="2"/>
  <c r="E36" i="3"/>
  <c r="D14" i="3"/>
  <c r="D13" i="3" s="1"/>
  <c r="C18" i="2"/>
  <c r="D5" i="3"/>
  <c r="D6" i="3"/>
  <c r="B22" i="2"/>
  <c r="D42" i="3"/>
  <c r="C24" i="2"/>
  <c r="C48" i="1"/>
  <c r="D62" i="1"/>
  <c r="C69" i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C18" i="1" l="1"/>
  <c r="D17" i="3"/>
  <c r="C28" i="2"/>
  <c r="C13" i="2"/>
  <c r="D12" i="3"/>
  <c r="D69" i="1"/>
  <c r="C25" i="2" s="1"/>
  <c r="E51" i="3"/>
  <c r="B13" i="2"/>
  <c r="C17" i="3"/>
  <c r="B28" i="2"/>
  <c r="C20" i="2"/>
  <c r="B18" i="1"/>
  <c r="D18" i="1"/>
  <c r="E17" i="3"/>
  <c r="D28" i="2"/>
  <c r="D51" i="3"/>
  <c r="C23" i="2"/>
  <c r="C51" i="3"/>
  <c r="B23" i="2"/>
  <c r="B69" i="1"/>
  <c r="B25" i="2" s="1"/>
  <c r="A24" i="3"/>
  <c r="A25" i="3" s="1"/>
  <c r="A26" i="3" s="1"/>
  <c r="A27" i="3" s="1"/>
  <c r="A28" i="3" s="1"/>
  <c r="A29" i="3" s="1"/>
  <c r="A30" i="3" s="1"/>
  <c r="D20" i="1" l="1"/>
  <c r="D32" i="2"/>
  <c r="B20" i="1"/>
  <c r="B32" i="2"/>
  <c r="C20" i="1"/>
  <c r="C32" i="2"/>
  <c r="A33" i="3"/>
  <c r="A39" i="3" s="1"/>
  <c r="A40" i="3" s="1"/>
  <c r="A41" i="3" s="1"/>
  <c r="A42" i="3" s="1"/>
  <c r="A43" i="3" s="1"/>
  <c r="A44" i="3" s="1"/>
  <c r="A46" i="3" s="1"/>
  <c r="A48" i="3" s="1"/>
  <c r="A50" i="3" s="1"/>
  <c r="C22" i="1" l="1"/>
  <c r="D19" i="3"/>
  <c r="D18" i="3"/>
  <c r="D20" i="3" s="1"/>
  <c r="D48" i="3"/>
  <c r="D37" i="3"/>
  <c r="D49" i="3" s="1"/>
  <c r="B22" i="1"/>
  <c r="C19" i="3"/>
  <c r="C48" i="3"/>
  <c r="C37" i="3"/>
  <c r="C49" i="3" s="1"/>
  <c r="C18" i="3"/>
  <c r="C20" i="3" s="1"/>
  <c r="D22" i="1"/>
  <c r="E37" i="3"/>
  <c r="E49" i="3" s="1"/>
  <c r="E18" i="3"/>
  <c r="E20" i="3" s="1"/>
  <c r="E19" i="3"/>
  <c r="E48" i="3"/>
  <c r="A34" i="3"/>
  <c r="A35" i="3" s="1"/>
  <c r="A36" i="3" s="1"/>
  <c r="A37" i="3" s="1"/>
  <c r="E50" i="3" l="1"/>
  <c r="D76" i="1"/>
  <c r="D91" i="1" s="1"/>
  <c r="E44" i="3"/>
  <c r="E47" i="3"/>
  <c r="D33" i="2"/>
  <c r="E22" i="3"/>
  <c r="E28" i="3"/>
  <c r="D50" i="3"/>
  <c r="C50" i="3"/>
  <c r="B76" i="1"/>
  <c r="B91" i="1" s="1"/>
  <c r="C44" i="3"/>
  <c r="C47" i="3"/>
  <c r="B33" i="2"/>
  <c r="C22" i="3"/>
  <c r="C76" i="1"/>
  <c r="C91" i="1" s="1"/>
  <c r="D28" i="3"/>
  <c r="D47" i="3"/>
  <c r="C33" i="2"/>
  <c r="D22" i="3"/>
  <c r="D44" i="3"/>
  <c r="C109" i="1" l="1"/>
  <c r="B109" i="1"/>
  <c r="D109" i="1"/>
</calcChain>
</file>

<file path=xl/sharedStrings.xml><?xml version="1.0" encoding="utf-8"?>
<sst xmlns="http://schemas.openxmlformats.org/spreadsheetml/2006/main" count="219" uniqueCount="184">
  <si>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</si>
  <si>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</si>
  <si>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</si>
  <si>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</si>
  <si>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</si>
  <si>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</si>
  <si>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</si>
  <si>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</si>
  <si>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</si>
  <si>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</si>
  <si>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</si>
  <si>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</si>
  <si>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</si>
  <si>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</si>
  <si>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</si>
  <si>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</si>
  <si>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</si>
  <si>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</si>
  <si>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</si>
  <si>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</si>
  <si>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</si>
  <si>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</si>
  <si>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</si>
  <si>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</si>
  <si>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</si>
  <si>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</si>
  <si>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</si>
  <si>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</si>
  <si>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</si>
  <si>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</si>
  <si>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</si>
  <si>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</si>
  <si>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</si>
  <si>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</si>
  <si>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</si>
  <si>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</si>
  <si>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</si>
  <si>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</si>
  <si>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</si>
  <si>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</si>
  <si>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</si>
  <si>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</si>
  <si>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</si>
  <si>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</si>
  <si>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</si>
  <si>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</si>
  <si>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</si>
  <si>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</si>
  <si>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</si>
  <si>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</si>
  <si>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</si>
  <si>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</si>
  <si>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</si>
  <si>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</si>
  <si>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</si>
  <si>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</si>
  <si>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</si>
  <si>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</si>
  <si>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</si>
  <si>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</si>
  <si>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</si>
  <si>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</si>
  <si>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</si>
  <si>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</si>
  <si>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</si>
  <si>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</si>
  <si>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</si>
  <si>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</si>
  <si>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</si>
  <si>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</si>
  <si>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</si>
  <si>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</si>
  <si>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</si>
  <si>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</si>
  <si>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</si>
  <si>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</si>
  <si>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</si>
  <si>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</si>
  <si>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</si>
  <si>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</si>
  <si>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</si>
  <si>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</si>
  <si>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</si>
  <si>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</si>
  <si>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</si>
  <si>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</si>
  <si>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</si>
  <si>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</si>
  <si>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</si>
  <si>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</si>
  <si>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</si>
  <si>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</si>
  <si>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</si>
  <si>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</si>
  <si>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</si>
  <si>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</si>
  <si>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</si>
  <si>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</si>
  <si>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</si>
  <si>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</si>
  <si>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</si>
  <si>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</si>
  <si>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</si>
  <si>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</si>
  <si>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</si>
  <si>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</si>
  <si>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</si>
  <si>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</si>
  <si>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</si>
  <si>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</si>
  <si>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</si>
  <si>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</si>
  <si>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</si>
  <si>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</si>
  <si>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</si>
  <si>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</si>
  <si>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</si>
  <si>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</si>
  <si>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</si>
  <si>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</si>
  <si>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</si>
  <si>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</si>
  <si>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</si>
  <si>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</si>
  <si>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</si>
  <si>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</si>
  <si>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</si>
  <si>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</si>
  <si>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</si>
  <si>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</si>
  <si>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</si>
  <si>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</si>
  <si>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</si>
  <si>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</si>
  <si>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</si>
  <si>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</si>
  <si>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</si>
  <si>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</si>
  <si>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</si>
  <si>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</si>
  <si>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</si>
  <si>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</si>
  <si>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</si>
  <si>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</si>
  <si>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</si>
  <si>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</si>
  <si>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</si>
  <si>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</si>
  <si>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</si>
  <si>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Total debts (current + non-current liabilities)</t>
  </si>
  <si>
    <t>Net Sales</t>
  </si>
  <si>
    <t>Current Assets</t>
  </si>
  <si>
    <t>Non-current assets</t>
  </si>
  <si>
    <t>Current Liabilities</t>
  </si>
  <si>
    <t>Non-current Liabilities</t>
  </si>
  <si>
    <t>Total Liabilities</t>
  </si>
  <si>
    <t>Shareholders Equity</t>
  </si>
  <si>
    <t>Total  Shareholders Equity+ Total Liabilities</t>
  </si>
  <si>
    <t xml:space="preserve">Capex </t>
  </si>
  <si>
    <t>Not sure here</t>
  </si>
  <si>
    <t>Market Capitalisation</t>
  </si>
  <si>
    <t>Daily Operational Expenses = Annual Operating Expenses - Noncash Charges i.e. Depreciation &amp; Amortization</t>
  </si>
  <si>
    <t>(Accounts Receivable / Total Net Sales) x 365</t>
  </si>
  <si>
    <t>Should be operating income, not EBITDA</t>
  </si>
  <si>
    <t>Term debt (under long term liabilities)/Total shareholder equity</t>
  </si>
  <si>
    <t>Include only long term debt other items are not considered long term debt, rather they are liabilities</t>
  </si>
  <si>
    <t>For debt link only long term debt other items are not considered long term debt, rather they are liabilities</t>
  </si>
  <si>
    <t>Net Operating Income/ (Interest + Debt repayment)</t>
  </si>
  <si>
    <t>Cash from operations - Capex + Net debt issued</t>
  </si>
  <si>
    <t>FCFE/Diluted number of shares</t>
  </si>
  <si>
    <t>Net Sales / Total Assets</t>
  </si>
  <si>
    <t>Link Diluted number of shares and Note that the three statements are in millions and the share count is in absolute value, therefore multiply the number by 1000</t>
  </si>
  <si>
    <t>Link Diluted number of shares instead of basic. Remove 1000000 on numerator and remove brackets on denominator</t>
  </si>
  <si>
    <t>Link Diluted number of shares instead of basic. Remove 1000 multiplication and divide the share count by 1000 only</t>
  </si>
  <si>
    <t>Income tax charge in income statement/Profit before tax on income statement</t>
  </si>
  <si>
    <t>Purchase of property plant and equipment in cash flow statement</t>
  </si>
  <si>
    <t>Feedback</t>
  </si>
  <si>
    <t>Capex as a percentage of fixed assets</t>
  </si>
  <si>
    <t>Thank you</t>
  </si>
  <si>
    <t xml:space="preserve">Defensive Interval = Current Assets / Daily Operational Expenses </t>
  </si>
  <si>
    <t>Capital = (Shareholder equity + Term debt)</t>
  </si>
  <si>
    <t>remove brackets</t>
  </si>
  <si>
    <t>Debt repayment can found in the cash flow statement</t>
  </si>
  <si>
    <t>Denominator should be linked to total non-current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</si>
</sst>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00"/>
    <numFmt numFmtId="168" formatCode="0.0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0" fontId="0" fillId="0" borderId="0" xfId="0" applyNumberFormat="1"/>
    <xf numFmtId="0" fontId="8" fillId="0" borderId="0" xfId="0" applyFont="1"/>
    <xf numFmtId="2" fontId="0" fillId="0" borderId="0" xfId="0" applyNumberFormat="1"/>
    <xf numFmtId="167" fontId="0" fillId="0" borderId="0" xfId="0" applyNumberFormat="1"/>
    <xf numFmtId="164" fontId="0" fillId="0" borderId="0" xfId="1" applyFont="1"/>
    <xf numFmtId="0" fontId="9" fillId="2" borderId="0" xfId="0" applyFont="1" applyFill="1"/>
    <xf numFmtId="0" fontId="10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68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4">
    <cellStyle name="Comma" xfId="1" builtinId="3"/>
    <cellStyle name="Comma 2" xf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opLeftCell="A27" workbookViewId="0">
      <selection activeCell="E47" sqref="E47"/>
    </sheetView>
  </sheetViews>
  <sheetFormatPr defaultRowHeight="14.4" x14ac:dyDescent="0.3"/>
  <cols>
    <col min="1" max="1" width="104.5546875" customWidth="1"/>
    <col min="2" max="2" width="12" bestFit="1" customWidth="1"/>
    <col min="3" max="3" width="11" bestFit="1" customWidth="1"/>
    <col min="5" max="5" width="33.5546875" customWidth="1"/>
  </cols>
  <sheetData>
    <row r="1" spans="1:5" ht="23.4" x14ac:dyDescent="0.45">
      <c r="A1" s="5" t="s">
        <v>87</v>
      </c>
    </row>
    <row r="3" spans="1:5" x14ac:dyDescent="0.3">
      <c r="A3" s="7" t="s">
        <v>140</v>
      </c>
    </row>
    <row r="4" spans="1:5" x14ac:dyDescent="0.3">
      <c r="A4" s="16" t="s">
        <v>88</v>
      </c>
    </row>
    <row r="5" spans="1:5" x14ac:dyDescent="0.3">
      <c r="A5" s="7" t="s">
        <v>96</v>
      </c>
    </row>
    <row r="6" spans="1:5" x14ac:dyDescent="0.3">
      <c r="A6" s="1" t="s">
        <v>147</v>
      </c>
    </row>
    <row r="7" spans="1:5" x14ac:dyDescent="0.3">
      <c r="A7" s="1"/>
    </row>
    <row r="8" spans="1:5" x14ac:dyDescent="0.3">
      <c r="A8" s="17" t="s">
        <v>148</v>
      </c>
      <c r="B8">
        <v>2022</v>
      </c>
      <c r="C8">
        <v>2021</v>
      </c>
      <c r="D8">
        <v>2020</v>
      </c>
      <c r="E8" s="28" t="s">
        <v>176</v>
      </c>
    </row>
    <row r="9" spans="1:5" x14ac:dyDescent="0.3">
      <c r="A9" s="1" t="s">
        <v>144</v>
      </c>
    </row>
    <row r="10" spans="1:5" x14ac:dyDescent="0.3">
      <c r="A10" s="1" t="s">
        <v>4</v>
      </c>
      <c r="B10" s="23">
        <f>('Financial Statements'!B6-'Financial Statements'!C6)/'Financial Statements'!C6</f>
        <v>6.3239764351428418E-2</v>
      </c>
      <c r="C10" s="23">
        <f>('Financial Statements'!C6-'Financial Statements'!D6)/'Financial Statements'!D6</f>
        <v>0.34720743656765435</v>
      </c>
      <c r="D10" s="23"/>
      <c r="E10" s="23"/>
    </row>
    <row r="11" spans="1:5" x14ac:dyDescent="0.3">
      <c r="A11" s="1" t="s">
        <v>5</v>
      </c>
      <c r="B11" s="23">
        <f>('Financial Statements'!B7-'Financial Statements'!C7)/'Financial Statements'!C7</f>
        <v>0.14181951041286078</v>
      </c>
      <c r="C11" s="23">
        <f>('Financial Statements'!C7-'Financial Statements'!D7)/'Financial Statements'!C7</f>
        <v>0.21420533430763611</v>
      </c>
    </row>
    <row r="12" spans="1:5" x14ac:dyDescent="0.3">
      <c r="A12" s="1" t="s">
        <v>150</v>
      </c>
      <c r="B12" s="23">
        <f>('Financial Statements'!B8-'Financial Statements'!C8)/'Financial Statements'!C8</f>
        <v>7.7937876041846058E-2</v>
      </c>
      <c r="C12" s="23">
        <f>('Financial Statements'!C8-'Financial Statements'!D8)/'Financial Statements'!D8</f>
        <v>0.33259384733074693</v>
      </c>
    </row>
    <row r="13" spans="1:5" x14ac:dyDescent="0.3">
      <c r="A13" s="1" t="s">
        <v>89</v>
      </c>
      <c r="B13" s="23">
        <f>('Financial Statements'!B13-'Financial Statements'!C13)/'Financial Statements'!C13</f>
        <v>0.11741997958596143</v>
      </c>
      <c r="C13" s="23">
        <f>('Financial Statements'!C13-'Financial Statements'!D13)/'Financial Statements'!D13</f>
        <v>0.45619116582186819</v>
      </c>
    </row>
    <row r="14" spans="1:5" x14ac:dyDescent="0.3">
      <c r="A14" s="1" t="s">
        <v>90</v>
      </c>
    </row>
    <row r="15" spans="1:5" x14ac:dyDescent="0.3">
      <c r="A15" s="1" t="s">
        <v>11</v>
      </c>
      <c r="B15" s="23">
        <f>('Financial Statements'!B15-'Financial Statements'!C15)/'Financial Statements'!C15</f>
        <v>0.19791001186456147</v>
      </c>
      <c r="C15" s="23">
        <f>('Financial Statements'!C15-'Financial Statements'!D15)/'Financial Statements'!D15</f>
        <v>0.16862201365187712</v>
      </c>
    </row>
    <row r="16" spans="1:5" x14ac:dyDescent="0.3">
      <c r="A16" s="1" t="s">
        <v>12</v>
      </c>
      <c r="B16" s="23">
        <f>('Financial Statements'!B16-'Financial Statements'!C16)/'Financial Statements'!C16</f>
        <v>0.14203795567287125</v>
      </c>
      <c r="C16" s="23">
        <f>('Financial Statements'!C16-'Financial Statements'!D16)/'Financial Statements'!D16</f>
        <v>0.10328379192608958</v>
      </c>
    </row>
    <row r="17" spans="1:5" x14ac:dyDescent="0.3">
      <c r="A17" s="1" t="s">
        <v>91</v>
      </c>
    </row>
    <row r="18" spans="1:5" x14ac:dyDescent="0.3">
      <c r="A18" s="1" t="s">
        <v>151</v>
      </c>
      <c r="B18" s="23">
        <f>('Financial Statements'!B42-'Financial Statements'!C42)/'Financial Statements'!C42</f>
        <v>4.2199412619775131E-3</v>
      </c>
      <c r="C18" s="23">
        <f>('Financial Statements'!C42-'Financial Statements'!D42)/'Financial Statements'!D42</f>
        <v>-6.176894226687913E-2</v>
      </c>
    </row>
    <row r="19" spans="1:5" x14ac:dyDescent="0.3">
      <c r="A19" s="1" t="s">
        <v>152</v>
      </c>
      <c r="B19" s="23">
        <f>('Financial Statements'!B47-'Financial Statements'!C47)/'Financial Statements'!C47</f>
        <v>5.4772720964443994E-3</v>
      </c>
      <c r="C19" s="23">
        <f>('Financial Statements'!C47-'Financial Statements'!D47)/'Financial Statements'!D47</f>
        <v>0.19975579297904814</v>
      </c>
    </row>
    <row r="20" spans="1:5" x14ac:dyDescent="0.3">
      <c r="A20" s="1" t="s">
        <v>33</v>
      </c>
      <c r="B20" s="23">
        <f>('Financial Statements'!B48-'Financial Statements'!C48)/'Financial Statements'!C48</f>
        <v>4.9942735369029236E-3</v>
      </c>
      <c r="C20" s="23">
        <f>('Financial Statements'!C48-'Financial Statements'!D48)/'Financial Statements'!D48</f>
        <v>8.3714123400681711E-2</v>
      </c>
    </row>
    <row r="21" spans="1:5" x14ac:dyDescent="0.3">
      <c r="A21" s="1" t="s">
        <v>153</v>
      </c>
      <c r="B21" s="23">
        <f>('Financial Statements'!B56-'Financial Statements'!C56)/'Financial Statements'!C56</f>
        <v>0.22713398841258836</v>
      </c>
      <c r="C21" s="23">
        <f>('Financial Statements'!C56-'Financial Statements'!D56)/'Financial Statements'!D56</f>
        <v>0.19061219067860938</v>
      </c>
    </row>
    <row r="22" spans="1:5" ht="15" customHeight="1" x14ac:dyDescent="0.3">
      <c r="A22" s="1" t="s">
        <v>154</v>
      </c>
      <c r="B22" s="23">
        <f>('Financial Statements'!B61-'Financial Statements'!C61)/'Financial Statements'!C61</f>
        <v>-8.8222075835277747E-2</v>
      </c>
      <c r="C22" s="23">
        <f>('Financial Statements'!C61-'Financial Statements'!D61)/'Financial Statements'!D61</f>
        <v>6.0552243775994566E-2</v>
      </c>
    </row>
    <row r="23" spans="1:5" x14ac:dyDescent="0.3">
      <c r="A23" s="1" t="s">
        <v>155</v>
      </c>
      <c r="B23" s="23">
        <f>('Financial Statements'!B62-'Financial Statements'!C62)/'Financial Statements'!C62</f>
        <v>4.9219900525160468E-2</v>
      </c>
      <c r="C23" s="23">
        <f>('Financial Statements'!C62-'Financial Statements'!D62)/'Financial Statements'!D62</f>
        <v>0.11356841449783213</v>
      </c>
    </row>
    <row r="24" spans="1:5" x14ac:dyDescent="0.3">
      <c r="A24" s="1" t="s">
        <v>156</v>
      </c>
      <c r="B24" s="23">
        <f>('Financial Statements'!B68-'Financial Statements'!C68)/'Financial Statements'!C68</f>
        <v>-0.19682992550324932</v>
      </c>
      <c r="C24" s="23">
        <f>('Financial Statements'!C68-'Financial Statements'!D68)/'Financial Statements'!D68</f>
        <v>-3.4420483937617659E-2</v>
      </c>
    </row>
    <row r="25" spans="1:5" x14ac:dyDescent="0.3">
      <c r="A25" s="1" t="s">
        <v>157</v>
      </c>
      <c r="B25" s="23">
        <f>('Financial Statements'!B69-'Financial Statements'!C69)/'Financial Statements'!C69</f>
        <v>4.9942735369029236E-3</v>
      </c>
      <c r="C25" s="23">
        <f>('Financial Statements'!C69-'Financial Statements'!D69)/'Financial Statements'!D69</f>
        <v>8.3714123400681711E-2</v>
      </c>
    </row>
    <row r="26" spans="1:5" x14ac:dyDescent="0.3">
      <c r="A26" s="17" t="s">
        <v>92</v>
      </c>
    </row>
    <row r="27" spans="1:5" x14ac:dyDescent="0.3">
      <c r="A27" s="1" t="s">
        <v>145</v>
      </c>
      <c r="B27" s="23">
        <f>'Financial Statements'!B12/'Financial Statements'!B8</f>
        <v>0.56690369438639909</v>
      </c>
      <c r="C27" s="23">
        <f>'Financial Statements'!C12/'Financial Statements'!C8</f>
        <v>0.58220640374832222</v>
      </c>
      <c r="D27" s="23">
        <f>'Financial Statements'!D12/'Financial Statements'!D8</f>
        <v>0.61766752272189129</v>
      </c>
      <c r="E27" s="23"/>
    </row>
    <row r="28" spans="1:5" x14ac:dyDescent="0.3">
      <c r="A28" s="1" t="s">
        <v>89</v>
      </c>
      <c r="B28" s="23">
        <f>'Financial Statements'!B13/'Financial Statements'!B8</f>
        <v>0.43309630561360085</v>
      </c>
      <c r="C28" s="23">
        <f>'Financial Statements'!C13/'Financial Statements'!C8</f>
        <v>0.41779359625167778</v>
      </c>
      <c r="D28" s="23">
        <f>'Financial Statements'!D13/'Financial Statements'!D8</f>
        <v>0.38233247727810865</v>
      </c>
      <c r="E28" s="23"/>
    </row>
    <row r="29" spans="1:5" x14ac:dyDescent="0.3">
      <c r="A29" s="1" t="s">
        <v>90</v>
      </c>
    </row>
    <row r="30" spans="1:5" x14ac:dyDescent="0.3">
      <c r="A30" s="1" t="s">
        <v>11</v>
      </c>
      <c r="B30" s="23">
        <f>'Financial Statements'!B15/'Financial Statements'!B8</f>
        <v>6.657148363798665E-2</v>
      </c>
      <c r="C30" s="23">
        <f>'Financial Statements'!C15/'Financial Statements'!C8</f>
        <v>5.9904269074427925E-2</v>
      </c>
      <c r="D30" s="23">
        <f>'Financial Statements'!D15/'Financial Statements'!D8</f>
        <v>6.8309564140393061E-2</v>
      </c>
      <c r="E30" s="23"/>
    </row>
    <row r="31" spans="1:5" x14ac:dyDescent="0.3">
      <c r="A31" s="1" t="s">
        <v>12</v>
      </c>
      <c r="B31" s="23">
        <f>'Financial Statements'!B16/'Financial Statements'!B8</f>
        <v>6.3637378020328261E-2</v>
      </c>
      <c r="C31" s="23">
        <f>'Financial Statements'!C16/'Financial Statements'!C8</f>
        <v>6.006555190163388E-2</v>
      </c>
      <c r="D31" s="23">
        <f>'Financial Statements'!D16/'Financial Statements'!D8</f>
        <v>7.2549769593646979E-2</v>
      </c>
      <c r="E31" s="23"/>
    </row>
    <row r="32" spans="1:5" x14ac:dyDescent="0.3">
      <c r="A32" s="1" t="s">
        <v>14</v>
      </c>
      <c r="B32" s="23">
        <f>'Financial Statements'!B18/'Financial Statements'!B8</f>
        <v>0.30288744395528594</v>
      </c>
      <c r="C32" s="23">
        <f>'Financial Statements'!C18/'Financial Statements'!C8</f>
        <v>0.29782377527561593</v>
      </c>
      <c r="D32" s="23">
        <f>'Financial Statements'!D18/'Financial Statements'!D8</f>
        <v>0.24147314354406862</v>
      </c>
      <c r="E32" s="23"/>
    </row>
    <row r="33" spans="1:7" x14ac:dyDescent="0.3">
      <c r="A33" s="1" t="s">
        <v>93</v>
      </c>
      <c r="B33" s="23">
        <f>'Financial Statements'!B22/'Financial Statements'!B8</f>
        <v>0.25309640705199732</v>
      </c>
      <c r="C33" s="23">
        <f>'Financial Statements'!C22/'Financial Statements'!C8</f>
        <v>0.25881793355694238</v>
      </c>
      <c r="D33" s="23">
        <f>'Financial Statements'!D22/'Financial Statements'!D8</f>
        <v>0.20913611278072236</v>
      </c>
      <c r="E33" s="23"/>
    </row>
    <row r="34" spans="1:7" x14ac:dyDescent="0.3">
      <c r="A34" s="1"/>
    </row>
    <row r="35" spans="1:7" x14ac:dyDescent="0.3">
      <c r="A35" s="17" t="s">
        <v>97</v>
      </c>
    </row>
    <row r="36" spans="1:7" x14ac:dyDescent="0.3">
      <c r="A36" s="1" t="s">
        <v>94</v>
      </c>
      <c r="B36" s="23">
        <f>'Financial Statements'!B21/'Financial Statements'!B20</f>
        <v>0.16204461684424407</v>
      </c>
      <c r="C36" s="23">
        <f>'Financial Statements'!C21/'Financial Statements'!C20</f>
        <v>0.13302260844085087</v>
      </c>
      <c r="D36" s="23">
        <f>'Financial Statements'!D21/'Financial Statements'!D20</f>
        <v>0.14428164731484103</v>
      </c>
      <c r="E36" s="23" t="s">
        <v>174</v>
      </c>
      <c r="F36" s="24" t="s">
        <v>159</v>
      </c>
      <c r="G36" s="24"/>
    </row>
    <row r="37" spans="1:7" x14ac:dyDescent="0.3">
      <c r="A37" s="1" t="s">
        <v>158</v>
      </c>
      <c r="B37">
        <f>-'Financial Statements'!B96</f>
        <v>10708</v>
      </c>
      <c r="C37">
        <f>-'Financial Statements'!C96</f>
        <v>11085</v>
      </c>
      <c r="D37">
        <f>-'Financial Statements'!D96</f>
        <v>7309</v>
      </c>
      <c r="E37" t="s">
        <v>175</v>
      </c>
      <c r="F37" s="24" t="s">
        <v>178</v>
      </c>
    </row>
    <row r="38" spans="1:7" x14ac:dyDescent="0.3">
      <c r="A38" s="1" t="s">
        <v>95</v>
      </c>
      <c r="B38" s="23">
        <f>B37/'Financial Statements'!B8</f>
        <v>2.7155058732831552E-2</v>
      </c>
      <c r="C38" s="23">
        <f>C37/'Financial Statements'!C8</f>
        <v>3.0302036264033657E-2</v>
      </c>
      <c r="D38" s="23">
        <f>D37/'Financial Statements'!D8</f>
        <v>2.6625138881299748E-2</v>
      </c>
      <c r="F38" t="s">
        <v>159</v>
      </c>
    </row>
    <row r="39" spans="1:7" x14ac:dyDescent="0.3">
      <c r="A39" s="1" t="s">
        <v>177</v>
      </c>
      <c r="B39" s="23">
        <f>B37/'Financial Statements'!B47</f>
        <v>4.9266160570508394E-2</v>
      </c>
      <c r="C39" s="23">
        <f>C37/'Financial Statements'!C47</f>
        <v>5.1280034788079534E-2</v>
      </c>
      <c r="D39" s="23">
        <f>D37/'Financial Statements'!D47</f>
        <v>4.0566116275842931E-2</v>
      </c>
      <c r="F39" t="s">
        <v>159</v>
      </c>
    </row>
    <row r="40" spans="1:7" x14ac:dyDescent="0.3">
      <c r="A40" s="1"/>
    </row>
    <row r="41" spans="1:7" x14ac:dyDescent="0.3">
      <c r="A41" s="17" t="s">
        <v>143</v>
      </c>
    </row>
    <row r="42" spans="1:7" x14ac:dyDescent="0.3">
      <c r="A42" s="16" t="s">
        <v>142</v>
      </c>
      <c r="B42">
        <v>187.87</v>
      </c>
      <c r="C42">
        <v>155.69999999999999</v>
      </c>
      <c r="D42">
        <v>112.06</v>
      </c>
    </row>
    <row r="44" spans="1:7" x14ac:dyDescent="0.3">
      <c r="A44" s="7" t="s">
        <v>146</v>
      </c>
    </row>
  </sheetData>
  <hyperlinks>
    <hyperlink ref="A4" r:id="rId1"/>
    <hyperlink ref="A42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topLeftCell="A23" workbookViewId="0">
      <selection activeCell="D51" sqref="D51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  <col min="7" max="7" width="11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33" t="s">
        <v>1</v>
      </c>
      <c r="B2" s="33"/>
      <c r="C2" s="33"/>
      <c r="D2" s="33"/>
    </row>
    <row r="3" spans="1:10" x14ac:dyDescent="0.3">
      <c r="B3" s="32" t="s">
        <v>23</v>
      </c>
      <c r="C3" s="32"/>
      <c r="D3" s="32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3">
      <c r="A31" s="33" t="s">
        <v>24</v>
      </c>
      <c r="B31" s="33"/>
      <c r="C31" s="33"/>
      <c r="D31" s="33"/>
    </row>
    <row r="32" spans="1:4" x14ac:dyDescent="0.3">
      <c r="B32" s="32" t="s">
        <v>141</v>
      </c>
      <c r="C32" s="32"/>
      <c r="D32" s="32"/>
    </row>
    <row r="33" spans="1: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3">
      <c r="A35" t="s">
        <v>25</v>
      </c>
    </row>
    <row r="36" spans="1:4" x14ac:dyDescent="0.3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3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3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3">
      <c r="A43" t="s">
        <v>48</v>
      </c>
      <c r="B43" s="12"/>
      <c r="C43" s="12"/>
      <c r="D43" s="12"/>
    </row>
    <row r="44" spans="1:4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3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3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" thickBot="1" x14ac:dyDescent="0.3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" thickTop="1" x14ac:dyDescent="0.3"/>
    <row r="50" spans="1:4" x14ac:dyDescent="0.3">
      <c r="A50" t="s">
        <v>34</v>
      </c>
    </row>
    <row r="51" spans="1:4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3">
      <c r="A57" t="s">
        <v>51</v>
      </c>
      <c r="B57" s="12"/>
      <c r="C57" s="12"/>
      <c r="D57" s="12"/>
    </row>
    <row r="58" spans="1:4" x14ac:dyDescent="0.3">
      <c r="A58" s="1" t="s">
        <v>37</v>
      </c>
      <c r="B58" s="12"/>
      <c r="C58" s="12"/>
      <c r="D58" s="12"/>
    </row>
    <row r="59" spans="1:4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3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3">
      <c r="B63" s="12"/>
      <c r="C63" s="12"/>
      <c r="D63" s="12"/>
    </row>
    <row r="64" spans="1:4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" thickTop="1" x14ac:dyDescent="0.3"/>
    <row r="71" spans="1:4" x14ac:dyDescent="0.3">
      <c r="A71" s="33" t="s">
        <v>55</v>
      </c>
      <c r="B71" s="33"/>
      <c r="C71" s="33"/>
      <c r="D71" s="33"/>
    </row>
    <row r="72" spans="1:4" x14ac:dyDescent="0.3">
      <c r="B72" s="32" t="s">
        <v>23</v>
      </c>
      <c r="C72" s="32"/>
      <c r="D72" s="32"/>
    </row>
    <row r="73" spans="1:4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zoomScaleNormal="100" workbookViewId="0">
      <selection activeCell="F35" sqref="F1:F1048576"/>
    </sheetView>
  </sheetViews>
  <sheetFormatPr defaultRowHeight="14.4" x14ac:dyDescent="0.3"/>
  <cols>
    <col min="1" max="1" width="4.6640625" customWidth="1"/>
    <col min="2" max="2" width="44.88671875" customWidth="1"/>
    <col min="3" max="3" width="15.88671875" customWidth="1"/>
    <col min="4" max="4" width="14" customWidth="1"/>
    <col min="5" max="5" width="11.6640625" customWidth="1"/>
    <col min="6" max="6" width="31.5546875" customWidth="1"/>
    <col min="7" max="7" width="30.33203125" customWidth="1"/>
  </cols>
  <sheetData>
    <row r="1" spans="1:11" ht="60" customHeight="1" x14ac:dyDescent="0.5">
      <c r="A1" s="6"/>
      <c r="B1" s="20" t="s">
        <v>0</v>
      </c>
      <c r="C1" s="19"/>
      <c r="D1" s="19"/>
      <c r="E1" s="19"/>
      <c r="F1" s="29" t="s">
        <v>176</v>
      </c>
      <c r="G1" s="29" t="s">
        <v>176</v>
      </c>
      <c r="H1" s="19"/>
      <c r="I1" s="19"/>
      <c r="J1" s="19"/>
      <c r="K1" s="19"/>
    </row>
    <row r="2" spans="1:11" x14ac:dyDescent="0.3">
      <c r="C2" s="32" t="s">
        <v>23</v>
      </c>
      <c r="D2" s="32"/>
      <c r="E2" s="32"/>
      <c r="F2" s="30"/>
    </row>
    <row r="3" spans="1:11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F3" s="7"/>
    </row>
    <row r="4" spans="1:11" x14ac:dyDescent="0.3">
      <c r="A4" s="18">
        <v>1</v>
      </c>
      <c r="B4" s="7" t="s">
        <v>98</v>
      </c>
    </row>
    <row r="5" spans="1:11" x14ac:dyDescent="0.3">
      <c r="A5" s="18">
        <f>+A4+0.1</f>
        <v>1.1000000000000001</v>
      </c>
      <c r="B5" s="1" t="s">
        <v>99</v>
      </c>
      <c r="C5" s="25">
        <f>'Financial Statements'!B42/'Financial Statements'!B56</f>
        <v>0.87935602862672257</v>
      </c>
      <c r="D5" s="25">
        <f>'Financial Statements'!C42/'Financial Statements'!C56</f>
        <v>1.0745531195957954</v>
      </c>
      <c r="E5" s="25">
        <f>'Financial Statements'!D42/'Financial Statements'!D56</f>
        <v>1.3636044481554577</v>
      </c>
      <c r="F5" s="25"/>
    </row>
    <row r="6" spans="1:11" x14ac:dyDescent="0.3">
      <c r="A6" s="18">
        <f t="shared" ref="A6:A13" si="0">+A5+0.1</f>
        <v>1.2000000000000002</v>
      </c>
      <c r="B6" s="1" t="s">
        <v>100</v>
      </c>
      <c r="C6" s="25">
        <f>('Financial Statements'!B42-'Financial Statements'!B39)/'Financial Statements'!B56</f>
        <v>0.84723539114961488</v>
      </c>
      <c r="D6" s="25">
        <f>('Financial Statements'!C42-'Financial Statements'!C39)/'Financial Statements'!C56</f>
        <v>1.0221149018576519</v>
      </c>
      <c r="E6" s="25">
        <f>('Financial Statements'!D42-'Financial Statements'!D39)/'Financial Statements'!D56</f>
        <v>1.325072111735236</v>
      </c>
      <c r="F6" s="25"/>
    </row>
    <row r="7" spans="1:11" x14ac:dyDescent="0.3">
      <c r="A7" s="18">
        <f t="shared" si="0"/>
        <v>1.3000000000000003</v>
      </c>
      <c r="B7" s="1" t="s">
        <v>101</v>
      </c>
      <c r="C7" s="25">
        <f>'Financial Statements'!B36/'Financial Statements'!B56</f>
        <v>0.15356340351469652</v>
      </c>
      <c r="D7" s="25">
        <f>'Financial Statements'!C36/'Financial Statements'!C56</f>
        <v>0.27844853005634318</v>
      </c>
      <c r="E7" s="25">
        <f>'Financial Statements'!D36/'Financial Statements'!D56</f>
        <v>0.36071049035979963</v>
      </c>
      <c r="F7" s="25"/>
    </row>
    <row r="8" spans="1:11" x14ac:dyDescent="0.3">
      <c r="A8" s="18">
        <f t="shared" si="0"/>
        <v>1.4000000000000004</v>
      </c>
      <c r="B8" s="1" t="s">
        <v>102</v>
      </c>
      <c r="C8" s="25">
        <f>('Financial Statements'!B17-'Financial Statements'!B79)/365</f>
        <v>110.24931506849315</v>
      </c>
      <c r="D8" s="25">
        <f>('Financial Statements'!C17-'Financial Statements'!C79)/365</f>
        <v>89.323287671232876</v>
      </c>
      <c r="E8" s="25">
        <f>('Financial Statements'!D17-'Financial Statements'!D79)/365</f>
        <v>75.649315068493152</v>
      </c>
      <c r="F8" s="25" t="s">
        <v>179</v>
      </c>
      <c r="G8" t="s">
        <v>161</v>
      </c>
    </row>
    <row r="9" spans="1:11" x14ac:dyDescent="0.3">
      <c r="A9" s="18">
        <f t="shared" si="0"/>
        <v>1.5000000000000004</v>
      </c>
      <c r="B9" s="1" t="s">
        <v>103</v>
      </c>
      <c r="C9" s="25">
        <f>('Financial Statements'!B18-'Financial Statements'!B80)/365</f>
        <v>302.46301369863016</v>
      </c>
      <c r="D9" s="25">
        <f>'Financial Statements'!C39/'Financial Statements'!C12*365</f>
        <v>11.27659274770989</v>
      </c>
      <c r="E9" s="25">
        <f>'Financial Statements'!D39/'Financial Statements'!D12*365</f>
        <v>8.7418833562358831</v>
      </c>
      <c r="F9" s="25"/>
    </row>
    <row r="10" spans="1:11" x14ac:dyDescent="0.3">
      <c r="A10" s="18">
        <f t="shared" si="0"/>
        <v>1.6000000000000005</v>
      </c>
      <c r="B10" s="1" t="s">
        <v>104</v>
      </c>
      <c r="C10" s="25">
        <f>('Financial Statements'!B19-'Financial Statements'!B81)/365</f>
        <v>-3.3671232876712329</v>
      </c>
      <c r="D10" s="25">
        <f>'Financial Statements'!C51/'Financial Statements'!C12*365</f>
        <v>93.851071222315596</v>
      </c>
      <c r="E10" s="25">
        <f>'Financial Statements'!D51/'Financial Statements'!D12*365</f>
        <v>91.048189715674198</v>
      </c>
      <c r="F10" s="25"/>
    </row>
    <row r="11" spans="1:11" x14ac:dyDescent="0.3">
      <c r="A11" s="18">
        <f t="shared" si="0"/>
        <v>1.7000000000000006</v>
      </c>
      <c r="B11" s="1" t="s">
        <v>105</v>
      </c>
      <c r="C11" s="25">
        <f>'Financial Statements'!B38/'Financial Statements'!B8*365</f>
        <v>26.087825363656648</v>
      </c>
      <c r="D11" s="25">
        <f>'Financial Statements'!C38/'Financial Statements'!C8*365</f>
        <v>26.219311841713207</v>
      </c>
      <c r="E11" s="25">
        <f>'Financial Statements'!D38/'Financial Statements'!D8*365</f>
        <v>21.433437152796749</v>
      </c>
      <c r="F11" s="25"/>
      <c r="G11" t="s">
        <v>162</v>
      </c>
    </row>
    <row r="12" spans="1:11" x14ac:dyDescent="0.3">
      <c r="A12" s="18">
        <f t="shared" si="0"/>
        <v>1.8000000000000007</v>
      </c>
      <c r="B12" s="1" t="s">
        <v>106</v>
      </c>
      <c r="C12" s="25">
        <f>('Financial Statements'!B21-'Financial Statements'!B83)/365</f>
        <v>52.876712328767127</v>
      </c>
      <c r="D12" s="26">
        <f t="shared" ref="D12:E12" si="1">D9+D11-D10</f>
        <v>-56.355166632892498</v>
      </c>
      <c r="E12" s="26">
        <f t="shared" si="1"/>
        <v>-60.872869206641568</v>
      </c>
      <c r="F12" s="26"/>
    </row>
    <row r="13" spans="1:11" x14ac:dyDescent="0.3">
      <c r="A13" s="18">
        <f t="shared" si="0"/>
        <v>1.9000000000000008</v>
      </c>
      <c r="B13" s="1" t="s">
        <v>107</v>
      </c>
      <c r="C13" s="25">
        <f>('Financial Statements'!B22-'Financial Statements'!B84)/365</f>
        <v>278.42739726027395</v>
      </c>
      <c r="D13" s="23">
        <f>'List of Ratios'!D14/'Financial Statements'!C8</f>
        <v>2.557289573748623E-2</v>
      </c>
      <c r="E13" s="23">
        <f>'List of Ratios'!E14/'Financial Statements'!D8</f>
        <v>0.13959528623208203</v>
      </c>
      <c r="F13" s="23"/>
    </row>
    <row r="14" spans="1:11" x14ac:dyDescent="0.3">
      <c r="A14" s="18"/>
      <c r="B14" s="3" t="s">
        <v>108</v>
      </c>
      <c r="C14" s="25">
        <f>('Financial Statements'!B23-'Financial Statements'!B85)/365</f>
        <v>-4.065753424657534</v>
      </c>
      <c r="D14">
        <f>'Financial Statements'!C42-'Financial Statements'!C56</f>
        <v>9355</v>
      </c>
      <c r="E14">
        <f>'Financial Statements'!D42-'Financial Statements'!D56</f>
        <v>38321</v>
      </c>
    </row>
    <row r="15" spans="1:11" x14ac:dyDescent="0.3">
      <c r="A15" s="18"/>
    </row>
    <row r="16" spans="1:11" x14ac:dyDescent="0.3">
      <c r="A16" s="18">
        <f>+A4+1</f>
        <v>2</v>
      </c>
      <c r="B16" s="17" t="s">
        <v>109</v>
      </c>
    </row>
    <row r="17" spans="1:9" x14ac:dyDescent="0.3">
      <c r="A17" s="18">
        <f>+A16+0.1</f>
        <v>2.1</v>
      </c>
      <c r="B17" s="1" t="s">
        <v>9</v>
      </c>
      <c r="C17" s="23">
        <f>'Financial Statements'!B13/'Financial Statements'!B8</f>
        <v>0.43309630561360085</v>
      </c>
      <c r="D17" s="23">
        <f>'Financial Statements'!C13/'Financial Statements'!C8</f>
        <v>0.41779359625167778</v>
      </c>
      <c r="E17" s="23">
        <f>'Financial Statements'!D13/'Financial Statements'!D8</f>
        <v>0.38233247727810865</v>
      </c>
      <c r="F17" s="23"/>
    </row>
    <row r="18" spans="1:9" x14ac:dyDescent="0.3">
      <c r="A18" s="18">
        <f>+A17+0.1</f>
        <v>2.2000000000000002</v>
      </c>
      <c r="B18" s="1" t="s">
        <v>110</v>
      </c>
      <c r="C18" s="23">
        <f>('Financial Statements'!B20+'Financial Statements'!B79)/'Financial Statements'!B8</f>
        <v>0.33019973220263332</v>
      </c>
      <c r="D18" s="23">
        <f>('Financial Statements'!C20+'Financial Statements'!C79)/'Financial Statements'!C8</f>
        <v>0.32937507004868555</v>
      </c>
      <c r="E18" s="23">
        <f>('Financial Statements'!D20+'Financial Statements'!D79)/'Financial Statements'!D8</f>
        <v>0.28467296869023551</v>
      </c>
      <c r="F18" s="23"/>
    </row>
    <row r="19" spans="1:9" x14ac:dyDescent="0.3">
      <c r="A19" s="18"/>
      <c r="B19" s="3" t="s">
        <v>111</v>
      </c>
      <c r="C19">
        <f>'Financial Statements'!B20+'Financial Statements'!B79</f>
        <v>130207</v>
      </c>
      <c r="D19">
        <f>'Financial Statements'!C20+'Financial Statements'!C79</f>
        <v>120491</v>
      </c>
      <c r="E19">
        <f>'Financial Statements'!D20+'Financial Statements'!D79</f>
        <v>78147</v>
      </c>
    </row>
    <row r="20" spans="1:9" x14ac:dyDescent="0.3">
      <c r="A20" s="18">
        <f>+A18+0.1</f>
        <v>2.3000000000000003</v>
      </c>
      <c r="B20" s="1" t="s">
        <v>112</v>
      </c>
      <c r="C20" s="23">
        <f>C18</f>
        <v>0.33019973220263332</v>
      </c>
      <c r="D20" s="23">
        <f t="shared" ref="D20:E20" si="2">D18</f>
        <v>0.32937507004868555</v>
      </c>
      <c r="E20" s="23">
        <f t="shared" si="2"/>
        <v>0.28467296869023551</v>
      </c>
      <c r="F20" s="23"/>
    </row>
    <row r="21" spans="1:9" x14ac:dyDescent="0.3">
      <c r="A21" s="18"/>
      <c r="B21" s="3" t="s">
        <v>113</v>
      </c>
      <c r="C21">
        <f>'Financial Statements'!B18</f>
        <v>119437</v>
      </c>
      <c r="D21">
        <f>'Financial Statements'!C18</f>
        <v>108949</v>
      </c>
      <c r="E21">
        <f>'Financial Statements'!D18</f>
        <v>66288</v>
      </c>
      <c r="G21" t="s">
        <v>163</v>
      </c>
    </row>
    <row r="22" spans="1:9" x14ac:dyDescent="0.3">
      <c r="A22" s="18">
        <f>+A20+0.1</f>
        <v>2.4000000000000004</v>
      </c>
      <c r="B22" s="1" t="s">
        <v>114</v>
      </c>
      <c r="C22" s="23">
        <f>'Financial Statements'!B22/'Financial Statements'!B8</f>
        <v>0.25309640705199732</v>
      </c>
      <c r="D22" s="23">
        <f>'Financial Statements'!C22/'Financial Statements'!C8</f>
        <v>0.25881793355694238</v>
      </c>
      <c r="E22" s="23">
        <f>'Financial Statements'!D22/'Financial Statements'!D8</f>
        <v>0.20913611278072236</v>
      </c>
      <c r="F22" s="23"/>
    </row>
    <row r="23" spans="1:9" x14ac:dyDescent="0.3">
      <c r="A23" s="18"/>
    </row>
    <row r="24" spans="1:9" x14ac:dyDescent="0.3">
      <c r="A24" s="18">
        <f>+A16+1</f>
        <v>3</v>
      </c>
      <c r="B24" s="7" t="s">
        <v>115</v>
      </c>
    </row>
    <row r="25" spans="1:9" x14ac:dyDescent="0.3">
      <c r="A25" s="18">
        <f>+A24+0.1</f>
        <v>3.1</v>
      </c>
      <c r="B25" s="1" t="s">
        <v>116</v>
      </c>
      <c r="C25" s="27">
        <f>'Financial Statements'!B59/'Financial Statements'!B68</f>
        <v>1.9529325860435744</v>
      </c>
      <c r="D25" s="27">
        <f>'Financial Statements'!C59/'Financial Statements'!C68</f>
        <v>1.729370740212395</v>
      </c>
      <c r="E25" s="27">
        <f>'Financial Statements'!D59/'Financial Statements'!D68</f>
        <v>1.5100782075024104</v>
      </c>
      <c r="F25" s="27"/>
      <c r="G25" t="s">
        <v>164</v>
      </c>
      <c r="I25" t="s">
        <v>149</v>
      </c>
    </row>
    <row r="26" spans="1:9" x14ac:dyDescent="0.3">
      <c r="A26" s="18">
        <f t="shared" ref="A26:A30" si="3">+A25+0.1</f>
        <v>3.2</v>
      </c>
      <c r="B26" s="1" t="s">
        <v>117</v>
      </c>
      <c r="C26" s="27">
        <f>'Financial Statements'!B59/'Financial Statements'!B48</f>
        <v>0.28053181386514719</v>
      </c>
      <c r="D26" s="27">
        <f>'Financial Statements'!C59/'Financial Statements'!C48</f>
        <v>0.31084153366647482</v>
      </c>
      <c r="E26" s="27">
        <f>'Financial Statements'!D59/'Financial Statements'!D48</f>
        <v>0.30463308304105124</v>
      </c>
      <c r="F26" s="27"/>
      <c r="G26" t="s">
        <v>165</v>
      </c>
    </row>
    <row r="27" spans="1:9" x14ac:dyDescent="0.3">
      <c r="A27" s="18">
        <f t="shared" si="3"/>
        <v>3.3000000000000003</v>
      </c>
      <c r="B27" s="1" t="s">
        <v>118</v>
      </c>
      <c r="C27" s="27">
        <f>'Financial Statements'!B59/'Financial Statements'!B68</f>
        <v>1.9529325860435744</v>
      </c>
      <c r="D27" s="27">
        <f>'Financial Statements'!C59/'Financial Statements'!C68</f>
        <v>1.729370740212395</v>
      </c>
      <c r="E27" s="27">
        <f>'Financial Statements'!D59/'Financial Statements'!D68</f>
        <v>1.5100782075024104</v>
      </c>
      <c r="F27" t="s">
        <v>180</v>
      </c>
      <c r="G27" t="s">
        <v>166</v>
      </c>
    </row>
    <row r="28" spans="1:9" x14ac:dyDescent="0.3">
      <c r="A28" s="18">
        <f t="shared" si="3"/>
        <v>3.4000000000000004</v>
      </c>
      <c r="B28" s="1" t="s">
        <v>119</v>
      </c>
      <c r="D28" s="25">
        <f>'Financial Statements'!C22/'Financial Statements'!C19</f>
        <v>366.97674418604652</v>
      </c>
      <c r="E28" s="25">
        <f>'Financial Statements'!D22/'Financial Statements'!D19</f>
        <v>71.495641344956411</v>
      </c>
      <c r="F28" s="25"/>
    </row>
    <row r="29" spans="1:9" x14ac:dyDescent="0.3">
      <c r="A29" s="18">
        <f t="shared" si="3"/>
        <v>3.5000000000000004</v>
      </c>
      <c r="B29" s="1" t="s">
        <v>120</v>
      </c>
      <c r="C29" s="25">
        <f>'Financial Statements'!B18/('Financial Statements'!B37+'Financial Statements'!B59)</f>
        <v>0.96618588058276778</v>
      </c>
      <c r="D29" s="25">
        <f>'Financial Statements'!C18/('Financial Statements'!C37+'Financial Statements'!C59)</f>
        <v>0.79638171119476631</v>
      </c>
      <c r="E29" s="25">
        <f>'Financial Statements'!D18/('Financial Statements'!D37+'Financial Statements'!D59)</f>
        <v>0.43727324300434056</v>
      </c>
      <c r="F29" s="25" t="s">
        <v>182</v>
      </c>
      <c r="G29" t="s">
        <v>167</v>
      </c>
    </row>
    <row r="30" spans="1:9" x14ac:dyDescent="0.3">
      <c r="A30" s="18">
        <f t="shared" si="3"/>
        <v>3.6000000000000005</v>
      </c>
      <c r="B30" s="1" t="s">
        <v>121</v>
      </c>
      <c r="C30" s="31">
        <f>C31/('Financial Statements'!B28*1000)</f>
        <v>1.2887684225826588E-5</v>
      </c>
      <c r="D30" s="31">
        <f>D31/('Financial Statements'!C28*1000)</f>
        <v>1.1981024041680841E-5</v>
      </c>
      <c r="E30" s="31">
        <f>E31/('Financial Statements'!D28*1000)</f>
        <v>9.8145766590937328E-6</v>
      </c>
      <c r="F30" s="31" t="s">
        <v>181</v>
      </c>
      <c r="G30" t="s">
        <v>169</v>
      </c>
    </row>
    <row r="31" spans="1:9" x14ac:dyDescent="0.3">
      <c r="A31" s="18"/>
      <c r="B31" s="3" t="s">
        <v>122</v>
      </c>
      <c r="C31">
        <f>'Financial Statements'!B91-Instructions!B37+'Financial Statements'!B59</f>
        <v>210402</v>
      </c>
      <c r="D31">
        <f>'Financial Statements'!C91-Instructions!C37+'Financial Statements'!C59</f>
        <v>202059</v>
      </c>
      <c r="E31">
        <f>'Financial Statements'!D91-Instructions!D37+'Financial Statements'!D59</f>
        <v>172032</v>
      </c>
      <c r="G31" t="s">
        <v>168</v>
      </c>
    </row>
    <row r="32" spans="1:9" x14ac:dyDescent="0.3">
      <c r="A32" s="18"/>
    </row>
    <row r="33" spans="1:7" x14ac:dyDescent="0.3">
      <c r="A33" s="18">
        <f>+A24+1</f>
        <v>4</v>
      </c>
      <c r="B33" s="17" t="s">
        <v>123</v>
      </c>
    </row>
    <row r="34" spans="1:7" x14ac:dyDescent="0.3">
      <c r="A34" s="18">
        <f>+A33+0.1</f>
        <v>4.0999999999999996</v>
      </c>
      <c r="B34" s="1" t="s">
        <v>124</v>
      </c>
      <c r="C34" s="25">
        <f>'Financial Statements'!B8/'Financial Statements'!B48</f>
        <v>1.1178523337727317</v>
      </c>
      <c r="D34" s="25">
        <f>'Financial Statements'!C8/'Financial Statements'!C48</f>
        <v>1.0422077367080529</v>
      </c>
      <c r="E34" s="25">
        <f>'Financial Statements'!D8/'Financial Statements'!D48</f>
        <v>0.84756150274168851</v>
      </c>
      <c r="F34" s="25"/>
      <c r="G34" t="s">
        <v>170</v>
      </c>
    </row>
    <row r="35" spans="1:7" x14ac:dyDescent="0.3">
      <c r="A35" s="18">
        <f t="shared" ref="A35:A37" si="4">+A34+0.1</f>
        <v>4.1999999999999993</v>
      </c>
      <c r="B35" s="1" t="s">
        <v>125</v>
      </c>
      <c r="C35" s="25">
        <f>'Financial Statements'!B8/'Financial Statements'!B48</f>
        <v>1.1178523337727317</v>
      </c>
      <c r="D35" s="25">
        <f>'Financial Statements'!C8/'Financial Statements'!C48</f>
        <v>1.0422077367080529</v>
      </c>
      <c r="E35" s="25">
        <f>'Financial Statements'!D8/'Financial Statements'!D48</f>
        <v>0.84756150274168851</v>
      </c>
      <c r="F35" s="25" t="s">
        <v>183</v>
      </c>
      <c r="G35" t="s">
        <v>170</v>
      </c>
    </row>
    <row r="36" spans="1:7" x14ac:dyDescent="0.3">
      <c r="A36" s="18">
        <f t="shared" si="4"/>
        <v>4.2999999999999989</v>
      </c>
      <c r="B36" s="1" t="s">
        <v>126</v>
      </c>
      <c r="C36" s="25">
        <f>'Financial Statements'!B8/'Financial Statements'!B39</f>
        <v>79.726647796198947</v>
      </c>
      <c r="D36" s="25">
        <f>'Financial Statements'!C8/'Financial Statements'!C39</f>
        <v>55.595288753799394</v>
      </c>
      <c r="E36" s="25">
        <f>'Financial Statements'!D8/'Financial Statements'!D39</f>
        <v>67.597882295001227</v>
      </c>
      <c r="F36" s="25"/>
    </row>
    <row r="37" spans="1:7" x14ac:dyDescent="0.3">
      <c r="A37" s="18">
        <f t="shared" si="4"/>
        <v>4.3999999999999986</v>
      </c>
      <c r="B37" s="1" t="s">
        <v>127</v>
      </c>
      <c r="C37" s="25">
        <f>'Financial Statements'!B20/'Financial Statements'!B48</f>
        <v>0.33763660330824508</v>
      </c>
      <c r="D37" s="25">
        <f>'Financial Statements'!C20/'Financial Statements'!C48</f>
        <v>0.31112928131463641</v>
      </c>
      <c r="E37" s="25">
        <f>'Financial Statements'!D20/'Financial Statements'!D48</f>
        <v>0.2071425925011115</v>
      </c>
      <c r="F37" s="25"/>
    </row>
    <row r="38" spans="1:7" x14ac:dyDescent="0.3">
      <c r="A38" s="18"/>
    </row>
    <row r="39" spans="1:7" x14ac:dyDescent="0.3">
      <c r="A39" s="18">
        <f>+A33+1</f>
        <v>5</v>
      </c>
      <c r="B39" s="17" t="s">
        <v>128</v>
      </c>
    </row>
    <row r="40" spans="1:7" x14ac:dyDescent="0.3">
      <c r="A40" s="18">
        <f>+A39+0.1</f>
        <v>5.0999999999999996</v>
      </c>
      <c r="B40" s="1" t="s">
        <v>129</v>
      </c>
      <c r="C40" s="25">
        <f>Instructions!B42/'List of Ratios'!C41</f>
        <v>30.547967479674796</v>
      </c>
      <c r="D40" s="25">
        <f>Instructions!C42/'List of Ratios'!D41</f>
        <v>27.460317460317459</v>
      </c>
      <c r="E40" s="25">
        <f>Instructions!D42/'List of Ratios'!E41</f>
        <v>33.854984894259822</v>
      </c>
      <c r="F40" s="25"/>
    </row>
    <row r="41" spans="1:7" x14ac:dyDescent="0.3">
      <c r="A41" s="18">
        <f t="shared" ref="A41:A44" si="5">+A40+0.1</f>
        <v>5.1999999999999993</v>
      </c>
      <c r="B41" s="3" t="s">
        <v>130</v>
      </c>
      <c r="C41">
        <f>'Financial Statements'!B24</f>
        <v>6.15</v>
      </c>
      <c r="D41">
        <f>'Financial Statements'!C24</f>
        <v>5.67</v>
      </c>
      <c r="E41">
        <f>'Financial Statements'!D24</f>
        <v>3.31</v>
      </c>
    </row>
    <row r="42" spans="1:7" x14ac:dyDescent="0.3">
      <c r="A42" s="18">
        <f t="shared" si="5"/>
        <v>5.2999999999999989</v>
      </c>
      <c r="B42" s="1" t="s">
        <v>131</v>
      </c>
      <c r="C42" s="25">
        <f>187.87/C43</f>
        <v>60.529120925363117</v>
      </c>
      <c r="D42" s="25">
        <f t="shared" ref="D42:E42" si="6">187.87/D43</f>
        <v>50.220515652718341</v>
      </c>
      <c r="E42" s="25">
        <f t="shared" si="6"/>
        <v>50.399081164082709</v>
      </c>
      <c r="F42" s="25"/>
    </row>
    <row r="43" spans="1:7" x14ac:dyDescent="0.3">
      <c r="A43" s="18">
        <f t="shared" si="5"/>
        <v>5.3999999999999986</v>
      </c>
      <c r="B43" s="3" t="s">
        <v>132</v>
      </c>
      <c r="C43" s="25">
        <f>'Financial Statements'!B68/'Financial Statements'!B28*1000</f>
        <v>3.1037952827971451</v>
      </c>
      <c r="D43" s="25">
        <f>'Financial Statements'!C68/'Financial Statements'!C28*1000</f>
        <v>3.740901453484597</v>
      </c>
      <c r="E43" s="25">
        <f>'Financial Statements'!D68/'Financial Statements'!D28*1000</f>
        <v>3.7276473233382479</v>
      </c>
      <c r="F43" s="25"/>
      <c r="G43" t="s">
        <v>171</v>
      </c>
    </row>
    <row r="44" spans="1:7" x14ac:dyDescent="0.3">
      <c r="A44" s="18">
        <f t="shared" si="5"/>
        <v>5.4999999999999982</v>
      </c>
      <c r="B44" s="1" t="s">
        <v>133</v>
      </c>
      <c r="C44" s="25">
        <f>-'Financial Statements'!B102/'Financial Statements'!B22*100</f>
        <v>14.870294480125848</v>
      </c>
      <c r="D44" s="25">
        <f>-'Financial Statements'!C102/'Financial Statements'!C22*100</f>
        <v>15.279890156316011</v>
      </c>
      <c r="E44" s="25">
        <f>-'Financial Statements'!D102/'Financial Statements'!D22*100</f>
        <v>24.526658654264864</v>
      </c>
      <c r="F44" s="25"/>
    </row>
    <row r="45" spans="1:7" x14ac:dyDescent="0.3">
      <c r="A45" s="18"/>
      <c r="B45" s="3" t="s">
        <v>134</v>
      </c>
      <c r="C45" s="25">
        <f>-'Financial Statements'!B102/'Financial Statements'!B28*1000</f>
        <v>0.90905087211857483</v>
      </c>
      <c r="D45" s="25">
        <f>-'Financial Statements'!C102/'Financial Statements'!C28*1000</f>
        <v>0.85781615672153544</v>
      </c>
      <c r="E45" s="25">
        <f>-'Financial Statements'!D102/'Financial Statements'!D28*1000</f>
        <v>0.80333341434558025</v>
      </c>
      <c r="F45" s="25"/>
      <c r="G45" t="s">
        <v>172</v>
      </c>
    </row>
    <row r="46" spans="1:7" x14ac:dyDescent="0.3">
      <c r="A46" s="18">
        <f>+A44+0.1</f>
        <v>5.5999999999999979</v>
      </c>
      <c r="B46" s="1" t="s">
        <v>135</v>
      </c>
      <c r="C46" s="23">
        <f>C45/187.87</f>
        <v>4.8387229047669924E-3</v>
      </c>
      <c r="D46" s="23">
        <f t="shared" ref="D46:E46" si="7">D45/187.87</f>
        <v>4.5660092442728235E-3</v>
      </c>
      <c r="E46" s="23">
        <f t="shared" si="7"/>
        <v>4.2760068895809885E-3</v>
      </c>
      <c r="F46" s="23"/>
    </row>
    <row r="47" spans="1:7" x14ac:dyDescent="0.3">
      <c r="A47" s="18">
        <f t="shared" ref="A47:A50" si="8">+A45+0.1</f>
        <v>0.1</v>
      </c>
      <c r="B47" s="1" t="s">
        <v>136</v>
      </c>
      <c r="C47" s="25">
        <f>'Financial Statements'!B22/'Financial Statements'!B68</f>
        <v>1.9695887275023682</v>
      </c>
      <c r="D47" s="25">
        <f>'Financial Statements'!C22/'Financial Statements'!C68</f>
        <v>1.5007132667617689</v>
      </c>
      <c r="E47" s="25">
        <f>'Financial Statements'!D22/'Financial Statements'!D68</f>
        <v>0.87866358530127486</v>
      </c>
      <c r="F47" s="25"/>
    </row>
    <row r="48" spans="1:7" x14ac:dyDescent="0.3">
      <c r="A48" s="18">
        <f t="shared" si="8"/>
        <v>5.6999999999999975</v>
      </c>
      <c r="B48" s="1" t="s">
        <v>137</v>
      </c>
      <c r="C48" s="23">
        <f>'Financial Statements'!B20/('Financial Statements'!B61+'Financial Statements'!B68)</f>
        <v>0.59919103701206899</v>
      </c>
      <c r="D48" s="23">
        <f>'Financial Statements'!C20/('Financial Statements'!C61+'Financial Statements'!C68)</f>
        <v>0.48424315252238148</v>
      </c>
      <c r="E48" s="23">
        <f>'Financial Statements'!D20/('Financial Statements'!D61+'Financial Statements'!D68)</f>
        <v>0.30705825278265964</v>
      </c>
      <c r="F48" s="23"/>
    </row>
    <row r="49" spans="1:7" x14ac:dyDescent="0.3">
      <c r="A49" s="18">
        <f t="shared" si="8"/>
        <v>0.2</v>
      </c>
      <c r="B49" s="1" t="s">
        <v>127</v>
      </c>
      <c r="C49" s="25">
        <f>C37</f>
        <v>0.33763660330824508</v>
      </c>
      <c r="D49" s="25">
        <f t="shared" ref="D49:E49" si="9">D37</f>
        <v>0.31112928131463641</v>
      </c>
      <c r="E49" s="25">
        <f t="shared" si="9"/>
        <v>0.2071425925011115</v>
      </c>
      <c r="F49" s="25"/>
    </row>
    <row r="50" spans="1:7" x14ac:dyDescent="0.3">
      <c r="A50" s="18">
        <f t="shared" si="8"/>
        <v>5.7999999999999972</v>
      </c>
      <c r="B50" s="1" t="s">
        <v>138</v>
      </c>
      <c r="C50">
        <f>C51/C19</f>
        <v>25.535723646270938</v>
      </c>
      <c r="D50">
        <f t="shared" ref="D50:E50" si="10">D51/D19</f>
        <v>23.681105231096094</v>
      </c>
      <c r="E50">
        <f t="shared" si="10"/>
        <v>27.70434508221685</v>
      </c>
    </row>
    <row r="51" spans="1:7" x14ac:dyDescent="0.3">
      <c r="A51" s="18"/>
      <c r="B51" s="3" t="s">
        <v>139</v>
      </c>
      <c r="C51" s="25">
        <f>C52+'Financial Statements'!B62-'Financial Statements'!B36</f>
        <v>3324929.96881</v>
      </c>
      <c r="D51" s="25">
        <f>D52+'Financial Statements'!C62-'Financial Statements'!C36</f>
        <v>2853360.0503999996</v>
      </c>
      <c r="E51" s="25">
        <f>E52+'Financial Statements'!D62-'Financial Statements'!D36</f>
        <v>2165011.4551400002</v>
      </c>
      <c r="F51" s="25"/>
    </row>
    <row r="52" spans="1:7" x14ac:dyDescent="0.3">
      <c r="B52" s="1" t="s">
        <v>160</v>
      </c>
      <c r="C52" s="25">
        <f>Instructions!B42*'Financial Statements'!B27/1000</f>
        <v>3046492.96881</v>
      </c>
      <c r="D52" s="25">
        <f>Instructions!C42*'Financial Statements'!C27/1000</f>
        <v>2600388.0503999996</v>
      </c>
      <c r="E52" s="25">
        <f>Instructions!D42*'Financial Statements'!D27/1000</f>
        <v>1944478.4551400002</v>
      </c>
      <c r="F52" s="25"/>
      <c r="G52" t="s">
        <v>173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2020-05-18T16:32:37Z</dcterms:created>
  <dcterms:modified xsi:type="dcterms:W3CDTF">2023-09-04T14:34:28Z</dcterms:modified>
</cp:coreProperties>
</file>