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BC897DC1-ED73-4036-8AD1-D2E3E96633E5}" xr6:coauthVersionLast="47" xr6:coauthVersionMax="47" xr10:uidLastSave="{00000000-0000-0000-0000-000000000000}"/>
  <bookViews>
    <workbookView xWindow="-120" yWindow="-120" windowWidth="20730" windowHeight="11160"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4" l="1"/>
  <c r="J61" i="4"/>
  <c r="J48" i="4"/>
  <c r="J41" i="4"/>
  <c r="J18" i="4"/>
  <c r="K19" i="4"/>
  <c r="L19" i="4"/>
  <c r="M19" i="4"/>
  <c r="N19" i="4"/>
  <c r="J19" i="4"/>
  <c r="K15" i="4"/>
  <c r="L15" i="4"/>
  <c r="M15" i="4"/>
  <c r="N15" i="4"/>
  <c r="J15" i="4"/>
  <c r="J205" i="3"/>
  <c r="K205" i="3"/>
  <c r="L205" i="3"/>
  <c r="M205" i="3"/>
  <c r="N205" i="3"/>
  <c r="K14" i="3"/>
  <c r="L14" i="3"/>
  <c r="M14" i="3"/>
  <c r="N14" i="3"/>
  <c r="J14" i="3"/>
  <c r="J39" i="4"/>
  <c r="K39" i="4" s="1"/>
  <c r="L39" i="4" s="1"/>
  <c r="M39" i="4" s="1"/>
  <c r="N39" i="4" s="1"/>
  <c r="M93" i="3"/>
  <c r="N93" i="3" s="1"/>
  <c r="L119" i="3"/>
  <c r="L115" i="3"/>
  <c r="M89" i="3"/>
  <c r="M85" i="3"/>
  <c r="M29" i="3"/>
  <c r="N29" i="3" s="1"/>
  <c r="M25" i="3"/>
  <c r="C143" i="3"/>
  <c r="D143" i="3"/>
  <c r="E143" i="3"/>
  <c r="F143" i="3"/>
  <c r="G143" i="3"/>
  <c r="H143" i="3"/>
  <c r="I143" i="3"/>
  <c r="I12" i="4"/>
  <c r="I15" i="4"/>
  <c r="I17" i="4" s="1"/>
  <c r="I16" i="4"/>
  <c r="J1" i="4"/>
  <c r="K1" i="4" s="1"/>
  <c r="L1" i="4" s="1"/>
  <c r="M1" i="4" s="1"/>
  <c r="N1" i="4" s="1"/>
  <c r="K60" i="4" l="1"/>
  <c r="L60" i="4"/>
  <c r="M60" i="4"/>
  <c r="N60" i="4"/>
  <c r="I19" i="4"/>
  <c r="N85" i="3"/>
  <c r="N119" i="3" s="1"/>
  <c r="M119" i="3"/>
  <c r="N89" i="3"/>
  <c r="N115" i="3" s="1"/>
  <c r="M115" i="3"/>
  <c r="N25" i="3"/>
  <c r="C62" i="4"/>
  <c r="D62" i="4"/>
  <c r="E62" i="4"/>
  <c r="F62" i="4"/>
  <c r="G62" i="4"/>
  <c r="H62" i="4"/>
  <c r="I62" i="4"/>
  <c r="B62" i="4"/>
  <c r="C59" i="4"/>
  <c r="D59" i="4"/>
  <c r="E59" i="4"/>
  <c r="F59" i="4"/>
  <c r="G59" i="4"/>
  <c r="H59" i="4"/>
  <c r="I59" i="4"/>
  <c r="J59" i="4" s="1"/>
  <c r="K59" i="4" s="1"/>
  <c r="L59" i="4" s="1"/>
  <c r="M59" i="4" s="1"/>
  <c r="N59" i="4" s="1"/>
  <c r="B59" i="4"/>
  <c r="C57" i="4"/>
  <c r="D57" i="4"/>
  <c r="E57" i="4"/>
  <c r="F57" i="4"/>
  <c r="G57" i="4"/>
  <c r="H57" i="4"/>
  <c r="I57" i="4"/>
  <c r="B57" i="4"/>
  <c r="B77" i="4"/>
  <c r="C25" i="4" l="1"/>
  <c r="D25" i="4"/>
  <c r="E25" i="4"/>
  <c r="F25" i="4"/>
  <c r="G25" i="4"/>
  <c r="H25" i="4"/>
  <c r="I25" i="4"/>
  <c r="J25" i="4" s="1"/>
  <c r="K25" i="4" s="1"/>
  <c r="L25" i="4" s="1"/>
  <c r="M25" i="4" s="1"/>
  <c r="N25" i="4" s="1"/>
  <c r="C23" i="4"/>
  <c r="D23" i="4"/>
  <c r="E23" i="4"/>
  <c r="F23" i="4"/>
  <c r="G23" i="4"/>
  <c r="H23" i="4"/>
  <c r="I23" i="4"/>
  <c r="B23" i="4"/>
  <c r="B51" i="4" s="1"/>
  <c r="C22" i="4"/>
  <c r="D22" i="4"/>
  <c r="E22" i="4"/>
  <c r="F22" i="4"/>
  <c r="G22" i="4"/>
  <c r="H22" i="4"/>
  <c r="I22" i="4"/>
  <c r="J22" i="4" s="1"/>
  <c r="K22" i="4" s="1"/>
  <c r="L22" i="4" s="1"/>
  <c r="M22" i="4" s="1"/>
  <c r="N22" i="4" s="1"/>
  <c r="B22" i="4"/>
  <c r="C35" i="4"/>
  <c r="D35" i="4"/>
  <c r="E35" i="4"/>
  <c r="F35" i="4"/>
  <c r="G35" i="4"/>
  <c r="H35" i="4"/>
  <c r="I35" i="4"/>
  <c r="J35" i="4" s="1"/>
  <c r="K35" i="4" s="1"/>
  <c r="L35" i="4" s="1"/>
  <c r="M35" i="4" s="1"/>
  <c r="N35" i="4" s="1"/>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J42" i="4" s="1"/>
  <c r="K42" i="4" s="1"/>
  <c r="L42" i="4" s="1"/>
  <c r="M42" i="4" s="1"/>
  <c r="N42" i="4" s="1"/>
  <c r="C41" i="4"/>
  <c r="D41" i="4"/>
  <c r="E41" i="4"/>
  <c r="F41" i="4"/>
  <c r="G41" i="4"/>
  <c r="H41" i="4"/>
  <c r="I41" i="4"/>
  <c r="C40" i="4"/>
  <c r="D40" i="4"/>
  <c r="E40" i="4"/>
  <c r="F40" i="4"/>
  <c r="G40" i="4"/>
  <c r="H40" i="4"/>
  <c r="I40" i="4"/>
  <c r="J40" i="4" s="1"/>
  <c r="K40" i="4" s="1"/>
  <c r="L40" i="4" s="1"/>
  <c r="M40" i="4" s="1"/>
  <c r="N40" i="4" s="1"/>
  <c r="B42" i="4"/>
  <c r="B41" i="4"/>
  <c r="B40" i="4"/>
  <c r="C36" i="4"/>
  <c r="D36" i="4"/>
  <c r="E36" i="4"/>
  <c r="F36" i="4"/>
  <c r="G36" i="4"/>
  <c r="H36" i="4"/>
  <c r="I36" i="4"/>
  <c r="J36" i="4" s="1"/>
  <c r="K36" i="4" s="1"/>
  <c r="L36" i="4" s="1"/>
  <c r="M36" i="4" s="1"/>
  <c r="N36" i="4" s="1"/>
  <c r="C37" i="4"/>
  <c r="D37" i="4"/>
  <c r="E37" i="4"/>
  <c r="F37" i="4"/>
  <c r="G37" i="4"/>
  <c r="H37" i="4"/>
  <c r="I37" i="4"/>
  <c r="J37" i="4" s="1"/>
  <c r="K37" i="4" s="1"/>
  <c r="L37" i="4" s="1"/>
  <c r="M37" i="4" s="1"/>
  <c r="N37" i="4" s="1"/>
  <c r="C38" i="4"/>
  <c r="D38" i="4"/>
  <c r="E38" i="4"/>
  <c r="F38" i="4"/>
  <c r="G38" i="4"/>
  <c r="H38" i="4"/>
  <c r="I38" i="4"/>
  <c r="J38" i="4" s="1"/>
  <c r="K38" i="4" s="1"/>
  <c r="L38" i="4" s="1"/>
  <c r="M38" i="4" s="1"/>
  <c r="N38" i="4" s="1"/>
  <c r="B38" i="4"/>
  <c r="B36" i="4"/>
  <c r="B37" i="4"/>
  <c r="C34" i="4"/>
  <c r="D34" i="4"/>
  <c r="E34" i="4"/>
  <c r="F34" i="4"/>
  <c r="G34" i="4"/>
  <c r="H34" i="4"/>
  <c r="I34" i="4"/>
  <c r="J34" i="4" s="1"/>
  <c r="K34" i="4" s="1"/>
  <c r="L34" i="4" s="1"/>
  <c r="M34" i="4" s="1"/>
  <c r="N34" i="4" s="1"/>
  <c r="C33" i="4"/>
  <c r="D33" i="4"/>
  <c r="E33" i="4"/>
  <c r="F33" i="4"/>
  <c r="G33" i="4"/>
  <c r="H33" i="4"/>
  <c r="I33" i="4"/>
  <c r="J33" i="4" s="1"/>
  <c r="K33" i="4" s="1"/>
  <c r="L33" i="4" s="1"/>
  <c r="M33" i="4" s="1"/>
  <c r="N33" i="4" s="1"/>
  <c r="B34" i="4"/>
  <c r="B33" i="4"/>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E32" i="4" l="1"/>
  <c r="C32" i="4"/>
  <c r="I51" i="4"/>
  <c r="G32" i="4"/>
  <c r="H51" i="4"/>
  <c r="F51" i="4"/>
  <c r="D51" i="4"/>
  <c r="D32" i="4"/>
  <c r="C51" i="4"/>
  <c r="I32" i="4"/>
  <c r="J32" i="4" s="1"/>
  <c r="K32" i="4" s="1"/>
  <c r="L32" i="4" s="1"/>
  <c r="M32" i="4" s="1"/>
  <c r="N32" i="4" s="1"/>
  <c r="H32" i="4"/>
  <c r="G51" i="4"/>
  <c r="F32" i="4"/>
  <c r="E51" i="4"/>
  <c r="B43" i="4"/>
  <c r="B32" i="4"/>
  <c r="I43" i="4"/>
  <c r="H43" i="4"/>
  <c r="G43" i="4"/>
  <c r="F43" i="4"/>
  <c r="E43" i="4"/>
  <c r="D43" i="4"/>
  <c r="C43" i="4"/>
  <c r="C60" i="4"/>
  <c r="B64" i="4"/>
  <c r="I64" i="4"/>
  <c r="H64" i="4"/>
  <c r="G64" i="4"/>
  <c r="F64" i="4"/>
  <c r="E64" i="4"/>
  <c r="D64" i="4"/>
  <c r="C64" i="4"/>
  <c r="B25" i="4"/>
  <c r="C21" i="4"/>
  <c r="D21" i="4"/>
  <c r="E21" i="4"/>
  <c r="F21" i="4"/>
  <c r="G21" i="4"/>
  <c r="H21" i="4"/>
  <c r="I21" i="4"/>
  <c r="J21" i="4" s="1"/>
  <c r="K21" i="4" s="1"/>
  <c r="L21" i="4" s="1"/>
  <c r="M21" i="4" s="1"/>
  <c r="N21" i="4" s="1"/>
  <c r="B21" i="4"/>
  <c r="C16" i="4"/>
  <c r="D16" i="4"/>
  <c r="E16" i="4"/>
  <c r="F16" i="4"/>
  <c r="G16" i="4"/>
  <c r="H16" i="4"/>
  <c r="B16" i="4"/>
  <c r="B31" i="4" l="1"/>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B17" i="4" l="1"/>
  <c r="H19" i="4"/>
  <c r="I18" i="4"/>
  <c r="F17" i="4"/>
  <c r="E17" i="4"/>
  <c r="D17" i="4"/>
  <c r="C17" i="4"/>
  <c r="C18" i="4" s="1"/>
  <c r="H18" i="4"/>
  <c r="B18" i="4"/>
  <c r="H1" i="4"/>
  <c r="G1" i="4" s="1"/>
  <c r="F1" i="4" s="1"/>
  <c r="E1" i="4" s="1"/>
  <c r="D1" i="4" s="1"/>
  <c r="C1" i="4" s="1"/>
  <c r="B1" i="4" s="1"/>
  <c r="D18" i="4" l="1"/>
  <c r="E18" i="4"/>
  <c r="F18" i="4"/>
  <c r="G18" i="4"/>
  <c r="C19" i="4"/>
  <c r="D19" i="4"/>
  <c r="E19" i="4"/>
  <c r="F19" i="4"/>
  <c r="B19" i="4"/>
  <c r="B159" i="3"/>
  <c r="C188" i="3"/>
  <c r="D188" i="3"/>
  <c r="E188" i="3"/>
  <c r="E189" i="3" s="1"/>
  <c r="F188" i="3"/>
  <c r="F189" i="3" s="1"/>
  <c r="G188" i="3"/>
  <c r="G189" i="3" s="1"/>
  <c r="H188" i="3"/>
  <c r="H189" i="3" s="1"/>
  <c r="I188" i="3"/>
  <c r="B188" i="3"/>
  <c r="B189" i="3" s="1"/>
  <c r="D189" i="3" l="1"/>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C48" i="3" l="1"/>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s="1"/>
  <c r="I13" i="4"/>
  <c r="J13" i="4" s="1"/>
  <c r="K13" i="4" s="1"/>
  <c r="L13" i="4" s="1"/>
  <c r="M13" i="4" s="1"/>
  <c r="N13" i="4" s="1"/>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4" i="4" l="1"/>
  <c r="J203" i="3"/>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24" i="4" l="1"/>
  <c r="L24" i="4" s="1"/>
  <c r="K199" i="3"/>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M24" i="4" l="1"/>
  <c r="L203" i="3"/>
  <c r="M200" i="3"/>
  <c r="N200" i="3" s="1"/>
  <c r="L199" i="3"/>
  <c r="M199" i="3" s="1"/>
  <c r="N199" i="3" s="1"/>
  <c r="L196" i="3"/>
  <c r="K202" i="3"/>
  <c r="G96" i="1"/>
  <c r="G98" i="1" s="1"/>
  <c r="G99" i="1" s="1"/>
  <c r="B4" i="3"/>
  <c r="B4" i="4" s="1"/>
  <c r="N24" i="4" l="1"/>
  <c r="M203" i="3"/>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B68" i="4" s="1"/>
  <c r="C66" i="4"/>
  <c r="D66" i="4"/>
  <c r="E66" i="4"/>
  <c r="F66" i="4"/>
  <c r="G66" i="4"/>
  <c r="I66" i="4"/>
  <c r="H66" i="4"/>
  <c r="C67" i="4" l="1"/>
  <c r="C68" i="4" s="1"/>
  <c r="B69" i="4"/>
  <c r="C69" i="4" l="1"/>
  <c r="D67" i="4"/>
  <c r="D68" i="4" s="1"/>
  <c r="D69" i="4" s="1"/>
  <c r="E67" i="4"/>
  <c r="E68" i="4" s="1"/>
  <c r="E69" i="4" s="1"/>
  <c r="F67" i="4"/>
  <c r="F68" i="4" s="1"/>
  <c r="F69" i="4" l="1"/>
  <c r="G67" i="4"/>
  <c r="G68" i="4" s="1"/>
  <c r="G69" i="4" l="1"/>
  <c r="H67" i="4"/>
  <c r="H68" i="4" s="1"/>
  <c r="H69" i="4" l="1"/>
  <c r="I67" i="4"/>
  <c r="I68" i="4" s="1"/>
  <c r="I69" i="4" l="1"/>
  <c r="J67" i="4"/>
  <c r="J50" i="4" s="1"/>
  <c r="J10" i="4" s="1"/>
  <c r="J37" i="3" l="1"/>
  <c r="J41" i="3"/>
  <c r="J42" i="3" s="1"/>
  <c r="N37" i="3" l="1"/>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23" i="4" s="1"/>
  <c r="K78" i="3"/>
  <c r="K75" i="3"/>
  <c r="K69" i="3"/>
  <c r="J71" i="3"/>
  <c r="J72" i="3" s="1"/>
  <c r="J66" i="3"/>
  <c r="J4" i="3"/>
  <c r="J3" i="4"/>
  <c r="J23" i="4" s="1"/>
  <c r="J75" i="3"/>
  <c r="J78" i="3"/>
  <c r="J69" i="3"/>
  <c r="J4" i="4" l="1"/>
  <c r="J51" i="4"/>
  <c r="K4" i="4"/>
  <c r="K72" i="3"/>
  <c r="M68" i="3"/>
  <c r="M74" i="3"/>
  <c r="M77" i="3"/>
  <c r="M3" i="3"/>
  <c r="M65" i="3"/>
  <c r="M5" i="3" s="1"/>
  <c r="M52" i="3"/>
  <c r="N74" i="3"/>
  <c r="N77" i="3"/>
  <c r="N3" i="3"/>
  <c r="N65" i="3"/>
  <c r="N5" i="3" s="1"/>
  <c r="N68" i="3"/>
  <c r="N52" i="3"/>
  <c r="L71" i="3"/>
  <c r="L72" i="3" s="1"/>
  <c r="L66" i="3"/>
  <c r="L4" i="3"/>
  <c r="L3" i="4"/>
  <c r="L78" i="3"/>
  <c r="L75" i="3"/>
  <c r="L69" i="3"/>
  <c r="L4" i="4" l="1"/>
  <c r="L23" i="4"/>
  <c r="N69" i="3"/>
  <c r="N71" i="3"/>
  <c r="N66" i="3"/>
  <c r="N4" i="3"/>
  <c r="N3" i="4"/>
  <c r="N23" i="4" s="1"/>
  <c r="N78" i="3"/>
  <c r="N75" i="3"/>
  <c r="M71" i="3"/>
  <c r="M72" i="3" s="1"/>
  <c r="M66" i="3"/>
  <c r="M4" i="3"/>
  <c r="M3" i="4"/>
  <c r="M78" i="3"/>
  <c r="M75" i="3"/>
  <c r="M69" i="3"/>
  <c r="M4" i="4" l="1"/>
  <c r="M23" i="4"/>
  <c r="N4" i="4"/>
  <c r="N72" i="3"/>
  <c r="J201" i="3" l="1"/>
  <c r="J8" i="3" l="1"/>
  <c r="J6" i="4" l="1"/>
  <c r="J47" i="4"/>
  <c r="J26" i="4" s="1"/>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49" i="4" s="1"/>
  <c r="J13" i="3"/>
  <c r="J12" i="4" l="1"/>
  <c r="J14" i="4" s="1"/>
  <c r="K7" i="3"/>
  <c r="K6" i="3"/>
  <c r="L7" i="3"/>
  <c r="L6" i="3"/>
  <c r="M7" i="3"/>
  <c r="M6" i="3"/>
  <c r="N7" i="3"/>
  <c r="N6" i="3"/>
  <c r="K11" i="3"/>
  <c r="K46" i="4"/>
  <c r="L11" i="3"/>
  <c r="L46" i="4"/>
  <c r="M11" i="3"/>
  <c r="M46" i="4"/>
  <c r="N11" i="3"/>
  <c r="N46" i="4"/>
  <c r="N5" i="4"/>
  <c r="N9" i="4" s="1"/>
  <c r="M5" i="4"/>
  <c r="M9" i="4" s="1"/>
  <c r="L5" i="4"/>
  <c r="L9" i="4" s="1"/>
  <c r="K5" i="4"/>
  <c r="K9" i="4" s="1"/>
  <c r="K7" i="4"/>
  <c r="K8" i="4" s="1"/>
  <c r="L7" i="4" l="1"/>
  <c r="N7" i="4"/>
  <c r="M7" i="4"/>
  <c r="J16" i="4"/>
  <c r="K198" i="3"/>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K51" i="4"/>
  <c r="J31" i="4"/>
  <c r="L51" i="4" l="1"/>
  <c r="M51" i="4" l="1"/>
  <c r="N51" i="4" l="1"/>
  <c r="N207" i="3" l="1"/>
  <c r="K207" i="3"/>
  <c r="L207" i="3"/>
  <c r="M207" i="3"/>
  <c r="J207" i="3"/>
  <c r="M16" i="3"/>
  <c r="L16" i="3"/>
  <c r="K16" i="3"/>
  <c r="J15" i="3"/>
  <c r="J52" i="4" l="1"/>
  <c r="K26" i="4" s="1"/>
  <c r="J16" i="3"/>
  <c r="K52" i="4"/>
  <c r="K15" i="3"/>
  <c r="L52" i="4"/>
  <c r="L15" i="3"/>
  <c r="M52" i="4"/>
  <c r="N15" i="3"/>
  <c r="M15" i="3"/>
  <c r="N52" i="4"/>
  <c r="N16" i="3"/>
  <c r="L26" i="4" l="1"/>
  <c r="K31" i="4"/>
  <c r="N58" i="4"/>
  <c r="M58" i="4"/>
  <c r="L58" i="4"/>
  <c r="K58" i="4"/>
  <c r="J58" i="4"/>
  <c r="J53" i="4"/>
  <c r="M26" i="4" l="1"/>
  <c r="L31" i="4"/>
  <c r="J64" i="4"/>
  <c r="J66" i="4"/>
  <c r="J68" i="4"/>
  <c r="K67" i="4"/>
  <c r="K50" i="4"/>
  <c r="K10" i="4"/>
  <c r="K11" i="4"/>
  <c r="K12" i="4"/>
  <c r="K48" i="4" s="1"/>
  <c r="K49" i="4" s="1"/>
  <c r="J17" i="4"/>
  <c r="J43" i="4"/>
  <c r="J44" i="4" s="1"/>
  <c r="K55" i="4" l="1"/>
  <c r="K53" i="4"/>
  <c r="N26" i="4"/>
  <c r="N31" i="4" s="1"/>
  <c r="M31" i="4"/>
  <c r="K14" i="4"/>
  <c r="K16" i="4" l="1"/>
  <c r="K17" i="4" s="1"/>
  <c r="K61" i="4" s="1"/>
  <c r="K64" i="4" l="1"/>
  <c r="K66" i="4" s="1"/>
  <c r="K68" i="4" s="1"/>
  <c r="L67" i="4" s="1"/>
  <c r="L50" i="4" s="1"/>
  <c r="L10" i="4" s="1"/>
  <c r="L11" i="4" s="1"/>
  <c r="L12" i="4" s="1"/>
  <c r="K41" i="4"/>
  <c r="L14" i="4"/>
  <c r="L48" i="4"/>
  <c r="L49" i="4" s="1"/>
  <c r="K18" i="4"/>
  <c r="L16" i="4"/>
  <c r="K43" i="4"/>
  <c r="K44" i="4" s="1"/>
  <c r="L17" i="4"/>
  <c r="L61" i="4" s="1"/>
  <c r="L41" i="4" l="1"/>
  <c r="L64" i="4"/>
  <c r="L55" i="4"/>
  <c r="L66" i="4" s="1"/>
  <c r="L68" i="4" s="1"/>
  <c r="M67" i="4" s="1"/>
  <c r="M50" i="4" s="1"/>
  <c r="M10" i="4" s="1"/>
  <c r="M11" i="4" s="1"/>
  <c r="L53" i="4"/>
  <c r="L18" i="4"/>
  <c r="M12" i="4"/>
  <c r="L43" i="4"/>
  <c r="L44" i="4" s="1"/>
  <c r="M14" i="4" l="1"/>
  <c r="M48" i="4"/>
  <c r="M49" i="4" s="1"/>
  <c r="M16" i="4"/>
  <c r="M17" i="4" s="1"/>
  <c r="M61" i="4" s="1"/>
  <c r="M64" i="4" s="1"/>
  <c r="M41" i="4" l="1"/>
  <c r="M43" i="4" s="1"/>
  <c r="M44" i="4" s="1"/>
  <c r="M55" i="4"/>
  <c r="M66" i="4" s="1"/>
  <c r="M68" i="4" s="1"/>
  <c r="N67" i="4" s="1"/>
  <c r="N50" i="4" s="1"/>
  <c r="N10" i="4" s="1"/>
  <c r="N11" i="4" s="1"/>
  <c r="N12" i="4" s="1"/>
  <c r="M53" i="4"/>
  <c r="M18" i="4"/>
  <c r="N14" i="4" l="1"/>
  <c r="N16" i="4" s="1"/>
  <c r="N17" i="4" s="1"/>
  <c r="N48" i="4"/>
  <c r="N49" i="4" s="1"/>
  <c r="N18" i="4" l="1"/>
  <c r="N61" i="4"/>
  <c r="N55" i="4"/>
  <c r="N53" i="4"/>
  <c r="N64" i="4" l="1"/>
  <c r="N66" i="4" s="1"/>
  <c r="N68" i="4" s="1"/>
  <c r="N41"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<sst xmlns="http://schemas.openxmlformats.org/spreadsheetml/2006/main" count="579" uniqueCount="245">
  <si>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</si>
  <si>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</si>
  <si>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</si>
  <si>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</si>
  <si>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</si>
  <si>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</si>
  <si>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</si>
  <si>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</si>
  <si>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</si>
  <si>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</si>
  <si>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</si>
  <si>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</si>
  <si>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</si>
  <si>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</si>
  <si>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</si>
  <si>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</si>
  <si>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</si>
  <si>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</si>
  <si>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</si>
  <si>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</si>
  <si>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</si>
  <si>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</si>
  <si>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</si>
  <si>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</si>
  <si>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</si>
  <si>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</si>
  <si>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</si>
  <si>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</si>
  <si>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</si>
  <si>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</si>
  <si>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</si>
  <si>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</si>
  <si>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</si>
  <si>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</si>
  <si>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</si>
  <si>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</si>
  <si>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</si>
  <si>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</si>
  <si>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</si>
  <si>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</si>
  <si>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</si>
  <si>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</si>
  <si>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</si>
  <si>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</si>
  <si>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</si>
  <si>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</si>
  <si>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</si>
  <si>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</si>
  <si>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</si>
  <si>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</si>
  <si>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</si>
  <si>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</si>
  <si>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</si>
  <si>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</si>
  <si>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</si>
  <si>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</si>
  <si>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</si>
  <si>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</si>
  <si>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</si>
  <si>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</si>
  <si>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</si>
  <si>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</si>
  <si>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</si>
  <si>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</si>
  <si>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</si>
  <si>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</si>
  <si>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</si>
  <si>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</si>
  <si>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</si>
  <si>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</si>
  <si>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</si>
  <si>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</si>
  <si>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</si>
  <si>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</si>
  <si>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</si>
  <si>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</si>
  <si>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</si>
  <si>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</si>
  <si>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</si>
  <si>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</si>
  <si>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</si>
  <si>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</si>
  <si>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</si>
  <si>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</si>
  <si>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</si>
  <si>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</si>
  <si>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</si>
  <si>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</si>
  <si>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</si>
  <si>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</si>
  <si>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</si>
  <si>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</si>
  <si>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</si>
  <si>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</si>
  <si>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</si>
  <si>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</si>
  <si>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</si>
  <si>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</si>
  <si>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</si>
  <si>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</si>
  <si>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</si>
  <si>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</si>
  <si>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</si>
  <si>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</si>
  <si>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</si>
  <si>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</si>
  <si>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</si>
  <si>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</si>
  <si>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</si>
  <si>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</si>
  <si>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</si>
  <si>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</si>
  <si>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</si>
  <si>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</si>
  <si>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</si>
  <si>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</si>
  <si>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</si>
  <si>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</si>
  <si>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</si>
  <si>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</si>
  <si>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</si>
  <si>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</si>
  <si>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</si>
  <si>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</si>
  <si>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</si>
  <si>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</si>
  <si>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</si>
  <si>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</si>
  <si>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</si>
  <si>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</si>
  <si>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</si>
  <si>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</si>
  <si>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</si>
  <si>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</si>
  <si>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</si>
  <si>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</si>
  <si>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</si>
  <si>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</si>
  <si>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</si>
  <si>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</si>
  <si>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</si>
  <si>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</si>
  <si>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</si>
  <si>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</si>
  <si>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</si>
  <si>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</si>
  <si>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</si>
  <si>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</si>
  <si>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</si>
  <si>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</si>
  <si>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</si>
  <si>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</si>
  <si>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</si>
  <si>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</si>
  <si>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</si>
  <si>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</si>
  <si>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</si>
  <si>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</si>
  <si>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</si>
  <si>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</si>
  <si>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</si>
  <si>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</si>
  <si>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</si>
  <si>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</si>
  <si>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</si>
  <si>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</si>
  <si>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</si>
  <si>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</si>
  <si>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</si>
  <si>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</si>
  <si>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</si>
  <si>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</si>
  <si>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</si>
  <si>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</si>
  <si>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</si>
  <si>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</si>
  <si>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</si>
  <si>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</si>
  <si>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</si>
  <si>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</si>
  <si>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</si>
  <si>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</si>
  <si>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</si>
  <si>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</si>
  <si>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</si>
  <si>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</si>
  <si>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</si>
  <si>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</si>
  <si>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</si>
  <si>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</si>
  <si>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</si>
  <si>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</si>
  <si>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</si>
  <si>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</si>
  <si>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</si>
  <si>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</si>
  <si>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</si>
  <si>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</si>
  <si>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</si>
  <si>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Guidance:</t>
  </si>
  <si>
    <t>Short term + Long term debt - (Cash + short term investments) Linked from above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</si>
  <si>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</si>
  <si>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</si>
  <si>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</si>
  <si>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</si>
  <si>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</si>
  <si>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</si>
  <si>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</si>
  <si>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</si>
  <si>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</si>
  <si>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</si>
  <si>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</si>
  <si>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</si>
  <si>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</si>
  <si>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</si>
  <si>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</si>
  <si>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</si>
  <si>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</si>
  <si>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</si>
  <si>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</si>
  <si>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</si>
  <si>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</si>
  <si>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</si>
  <si>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</si>
  <si>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Management notes that proposals to reform U.S. and foreign tax laws could significantly impact how U.S. multinational corporations are taxed on foreign earnings and could increase the U.S. corporate tax rate. Although they cannot predict whether or in what form these proposals will pass, several of the proposals considered, if enacted into law, could have an adverse impact on our effective tax rate, income tax expense and cash flows management added.</t>
  </si>
  <si>
    <t>As of May 31, 2022, NIKE had cash, cash equivalents and short-term investments totaling $13.0 billion, primarily consisting of commercial paper, corporate notes, deposits held at major banks, money market funds, U.S. government sponsored enterprise obligations, U.S. Treasury obligations and other investment grade fixed-income securities. Management note they may continue to issue commercial paper or other debt securities depending on general corporate needs, hence likely to be raise debt marginally</t>
  </si>
  <si>
    <t>On March 11, 2022, NIKE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t>
  </si>
  <si>
    <t>Management notes that the scheduled maturity of Long-term debt in each of the years ending May 31, 2023 through 2027, are $500 million, $0 million, $1,000 million, $0 million and $2,000 million, respectively, at face value</t>
  </si>
  <si>
    <t>Feedback</t>
  </si>
  <si>
    <t>Forecast this based on historical trend</t>
  </si>
  <si>
    <t>EPS*Pay out ratio</t>
  </si>
  <si>
    <t>WC as a % of revenue * Revenue</t>
  </si>
  <si>
    <t>Keep this equal to 2022</t>
  </si>
  <si>
    <t>Opening debt - repayment (in cash flow)</t>
  </si>
  <si>
    <t>Opening retained earnings + Net income - Dividends paid</t>
  </si>
  <si>
    <t>2022 PPE + Capex - D&amp;A (follow the same for the other period)</t>
  </si>
  <si>
    <t>Note that dividends paid is already negative in cash flow, when you link it with - sign, it become positive. Change the sign to +</t>
  </si>
  <si>
    <t>Increase the pay out ratio  to reflect 11% DPS growth every year</t>
  </si>
  <si>
    <t>Calculate the DPS growth like how you have done in 2022</t>
  </si>
  <si>
    <t>Link it to tax in income statement</t>
  </si>
  <si>
    <t>Keep this blank</t>
  </si>
  <si>
    <t>Forecast this number based on Historical trend</t>
  </si>
  <si>
    <t>Current year DPS * current year share count</t>
  </si>
  <si>
    <t>Opening share count -(forecasted buy back value in cash flow/Average share price of Nike year to date) find average share price in yahoo finance</t>
  </si>
  <si>
    <t>Note that DPS has been growing by more then 10% every year, and has cross then $1 mark and is heading towards $1.30, $1.5 marks in future, your forecasts should reflect that trend. When your EPS is growing in a healthy number, your DPS also should be growing, not declining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</si>
</sst>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b/>
      <sz val="14"/>
      <color rgb="FFFFFFFF"/>
      <name val="Calibri"/>
      <family val="2"/>
    </font>
    <font>
      <b/>
      <sz val="11"/>
      <color theme="1"/>
      <name val="Calibri"/>
      <family val="2"/>
    </font>
    <font>
      <b/>
      <sz val="11"/>
      <name val="Calibri"/>
      <family val="2"/>
    </font>
    <font>
      <sz val="11"/>
      <name val="Calibri"/>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41" fontId="22" fillId="0" borderId="0" xfId="0" applyNumberFormat="1" applyFont="1"/>
    <xf numFmtId="41"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0" fontId="38" fillId="0" borderId="0" xfId="0" applyFont="1" applyAlignment="1">
      <alignment horizontal="left"/>
    </xf>
    <xf numFmtId="41" fontId="29" fillId="0" borderId="0" xfId="1" applyNumberFormat="1" applyFont="1" applyFill="1" applyBorder="1"/>
    <xf numFmtId="166" fontId="22" fillId="0" borderId="0" xfId="2" applyNumberFormat="1" applyFont="1"/>
    <xf numFmtId="3" fontId="24" fillId="0" borderId="0" xfId="0" applyNumberFormat="1" applyFont="1"/>
    <xf numFmtId="166" fontId="0" fillId="0" borderId="0" xfId="0" applyNumberFormat="1"/>
    <xf numFmtId="9" fontId="0" fillId="0" borderId="0" xfId="2" applyFont="1"/>
    <xf numFmtId="166" fontId="30" fillId="0" borderId="0" xfId="2" applyNumberFormat="1" applyFont="1" applyFill="1" applyBorder="1" applyAlignment="1">
      <alignment horizontal="right"/>
    </xf>
    <xf numFmtId="41" fontId="15" fillId="0" borderId="0" xfId="0" applyNumberFormat="1" applyFont="1"/>
    <xf numFmtId="41" fontId="24" fillId="0" borderId="0" xfId="0" applyNumberFormat="1" applyFont="1"/>
    <xf numFmtId="3" fontId="22" fillId="0" borderId="0" xfId="0" applyNumberFormat="1" applyFont="1" applyAlignment="1">
      <alignment horizontal="left"/>
    </xf>
    <xf numFmtId="166" fontId="15" fillId="0" borderId="0" xfId="2" applyNumberFormat="1" applyFont="1" applyFill="1" applyAlignment="1">
      <alignment horizontal="left"/>
    </xf>
    <xf numFmtId="1" fontId="23" fillId="0" borderId="0" xfId="2" applyNumberFormat="1" applyFont="1" applyFill="1" applyAlignment="1">
      <alignment horizontal="left"/>
    </xf>
    <xf numFmtId="3" fontId="15" fillId="0" borderId="0" xfId="2" applyNumberFormat="1" applyFont="1" applyFill="1" applyAlignment="1">
      <alignment horizontal="left"/>
    </xf>
    <xf numFmtId="166" fontId="23" fillId="0" borderId="0" xfId="2" applyNumberFormat="1" applyFont="1" applyFill="1" applyAlignment="1">
      <alignment horizontal="left"/>
    </xf>
    <xf numFmtId="165" fontId="29" fillId="0" borderId="0" xfId="1" applyNumberFormat="1" applyFont="1" applyFill="1" applyBorder="1" applyAlignment="1">
      <alignment horizontal="left"/>
    </xf>
    <xf numFmtId="3" fontId="23" fillId="0" borderId="0" xfId="2" applyNumberFormat="1" applyFont="1" applyFill="1" applyAlignment="1">
      <alignment horizontal="left"/>
    </xf>
    <xf numFmtId="4" fontId="23" fillId="0" borderId="0" xfId="2" applyNumberFormat="1" applyFont="1" applyFill="1" applyAlignment="1">
      <alignment horizontal="left"/>
    </xf>
    <xf numFmtId="166" fontId="19" fillId="0" borderId="0" xfId="2" applyNumberFormat="1" applyFont="1" applyFill="1" applyAlignment="1">
      <alignment horizontal="left"/>
    </xf>
    <xf numFmtId="166" fontId="31" fillId="0" borderId="0" xfId="2" applyNumberFormat="1" applyFont="1" applyFill="1" applyBorder="1" applyAlignment="1">
      <alignment horizontal="left"/>
    </xf>
    <xf numFmtId="3" fontId="15" fillId="0" borderId="0" xfId="0" applyNumberFormat="1" applyFont="1" applyAlignment="1">
      <alignment horizontal="left"/>
    </xf>
    <xf numFmtId="3" fontId="24" fillId="0" borderId="0" xfId="0" applyNumberFormat="1" applyFont="1" applyAlignment="1">
      <alignment horizontal="left"/>
    </xf>
    <xf numFmtId="43" fontId="33" fillId="0" borderId="0" xfId="1" applyFont="1" applyFill="1" applyBorder="1" applyAlignment="1">
      <alignment horizontal="left"/>
    </xf>
    <xf numFmtId="3" fontId="20" fillId="0" borderId="0" xfId="2" applyNumberFormat="1" applyFont="1" applyFill="1" applyAlignment="1">
      <alignment horizontal="left"/>
    </xf>
    <xf numFmtId="165" fontId="19" fillId="0" borderId="0" xfId="2" applyNumberFormat="1" applyFont="1" applyFill="1" applyAlignment="1">
      <alignment horizontal="left"/>
    </xf>
    <xf numFmtId="37" fontId="23" fillId="0" borderId="0" xfId="2" applyNumberFormat="1" applyFont="1" applyFill="1" applyAlignment="1">
      <alignment horizontal="left"/>
    </xf>
    <xf numFmtId="41" fontId="24" fillId="0" borderId="0" xfId="0" applyNumberFormat="1" applyFont="1" applyAlignment="1">
      <alignment horizontal="left"/>
    </xf>
    <xf numFmtId="41" fontId="29" fillId="0" borderId="0" xfId="1" applyNumberFormat="1" applyFont="1" applyFill="1" applyBorder="1" applyAlignment="1">
      <alignment horizontal="left"/>
    </xf>
    <xf numFmtId="41" fontId="15" fillId="0" borderId="0" xfId="0" applyNumberFormat="1" applyFont="1" applyAlignment="1">
      <alignment horizontal="left"/>
    </xf>
    <xf numFmtId="165" fontId="32" fillId="0" borderId="0" xfId="1" applyNumberFormat="1" applyFont="1" applyFill="1" applyBorder="1" applyAlignment="1">
      <alignment horizontal="left"/>
    </xf>
    <xf numFmtId="165" fontId="35" fillId="0" borderId="0" xfId="0" applyNumberFormat="1" applyFont="1" applyAlignment="1">
      <alignment horizontal="left"/>
    </xf>
    <xf numFmtId="166" fontId="0" fillId="0" borderId="0" xfId="2" applyNumberFormat="1" applyFont="1" applyFill="1" applyAlignment="1">
      <alignment horizontal="left"/>
    </xf>
    <xf numFmtId="0" fontId="0" fillId="0" borderId="0" xfId="0" applyAlignment="1">
      <alignment horizontal="left"/>
    </xf>
    <xf numFmtId="0" fontId="40" fillId="8" borderId="0" xfId="0" applyFont="1" applyFill="1" applyAlignment="1">
      <alignment horizontal="left"/>
    </xf>
    <xf numFmtId="165" fontId="33" fillId="0" borderId="0" xfId="1" applyNumberFormat="1" applyFont="1" applyFill="1" applyBorder="1"/>
    <xf numFmtId="43" fontId="41" fillId="0" borderId="0" xfId="1" applyFont="1" applyFill="1" applyBorder="1"/>
    <xf numFmtId="3" fontId="15" fillId="7" borderId="0" xfId="2" applyNumberFormat="1" applyFont="1" applyFill="1" applyAlignment="1">
      <alignment horizontal="right"/>
    </xf>
    <xf numFmtId="4" fontId="15" fillId="7" borderId="0" xfId="2" applyNumberFormat="1" applyFont="1" applyFill="1" applyAlignment="1">
      <alignment horizontal="right"/>
    </xf>
    <xf numFmtId="0" fontId="22" fillId="0" borderId="0" xfId="0" applyFont="1" applyAlignment="1">
      <alignment horizontal="left"/>
    </xf>
    <xf numFmtId="165" fontId="42" fillId="0" borderId="0" xfId="1" applyNumberFormat="1" applyFont="1" applyFill="1" applyBorder="1" applyAlignment="1">
      <alignment horizontal="left"/>
    </xf>
    <xf numFmtId="43" fontId="43" fillId="0" borderId="0" xfId="1" applyFont="1" applyFill="1" applyBorder="1" applyAlignment="1">
      <alignment horizontal="left"/>
    </xf>
    <xf numFmtId="165" fontId="43" fillId="0" borderId="0" xfId="1" applyNumberFormat="1" applyFont="1" applyFill="1" applyBorder="1" applyAlignment="1">
      <alignment horizontal="left"/>
    </xf>
    <xf numFmtId="41" fontId="42" fillId="0" borderId="0" xfId="1" applyNumberFormat="1" applyFont="1" applyFill="1" applyBorder="1" applyAlignment="1">
      <alignment horizontal="left"/>
    </xf>
    <xf numFmtId="165" fontId="42" fillId="0" borderId="0" xfId="0" applyNumberFormat="1" applyFont="1" applyAlignment="1">
      <alignment horizontal="left"/>
    </xf>
    <xf numFmtId="0" fontId="42" fillId="8" borderId="0" xfId="0" applyFont="1" applyFill="1" applyAlignment="1">
      <alignment horizontal="left"/>
    </xf>
    <xf numFmtId="1" fontId="15" fillId="0" borderId="0" xfId="2" applyNumberFormat="1" applyFont="1" applyFill="1" applyAlignment="1">
      <alignment horizontal="left"/>
    </xf>
    <xf numFmtId="4" fontId="15" fillId="0" borderId="0" xfId="2" applyNumberFormat="1" applyFont="1" applyFill="1" applyAlignment="1">
      <alignment horizontal="left"/>
    </xf>
    <xf numFmtId="166" fontId="43" fillId="0" borderId="0" xfId="2" applyNumberFormat="1" applyFont="1" applyFill="1" applyBorder="1" applyAlignment="1">
      <alignment horizontal="left"/>
    </xf>
    <xf numFmtId="165" fontId="15" fillId="0" borderId="0" xfId="2" applyNumberFormat="1" applyFont="1" applyFill="1" applyAlignment="1">
      <alignment horizontal="left"/>
    </xf>
    <xf numFmtId="37" fontId="15" fillId="0" borderId="0" xfId="2" applyNumberFormat="1" applyFont="1"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1" workbookViewId="0">
      <selection activeCell="A19" sqref="A19"/>
    </sheetView>
  </sheetViews>
  <sheetFormatPr defaultRowHeight="15" x14ac:dyDescent="0.25"/>
  <cols>
    <col min="1" max="1" width="176.140625" style="19" customWidth="1"/>
  </cols>
  <sheetData>
    <row r="1" spans="1:1" ht="23.25" x14ac:dyDescent="0.35">
      <c r="A1" s="18" t="s">
        <v>20</v>
      </c>
    </row>
    <row r="2" spans="1:1" ht="20.25" x14ac:dyDescent="0.3">
      <c r="A2" s="136" t="s">
        <v>201</v>
      </c>
    </row>
    <row r="3" spans="1:1" ht="20.25" x14ac:dyDescent="0.3">
      <c r="A3" s="137" t="s">
        <v>199</v>
      </c>
    </row>
    <row r="4" spans="1:1" ht="20.25" x14ac:dyDescent="0.3">
      <c r="A4" s="138" t="s">
        <v>202</v>
      </c>
    </row>
    <row r="5" spans="1:1" ht="20.25" x14ac:dyDescent="0.3">
      <c r="A5" s="136" t="s">
        <v>203</v>
      </c>
    </row>
    <row r="6" spans="1:1" ht="20.25" x14ac:dyDescent="0.3">
      <c r="A6" s="136" t="s">
        <v>204</v>
      </c>
    </row>
    <row r="7" spans="1:1" ht="20.25" x14ac:dyDescent="0.3">
      <c r="A7" s="136" t="s">
        <v>205</v>
      </c>
    </row>
    <row r="8" spans="1:1" ht="20.25" x14ac:dyDescent="0.3">
      <c r="A8" s="136"/>
    </row>
    <row r="9" spans="1:1" ht="20.25" x14ac:dyDescent="0.3">
      <c r="A9" s="137" t="s">
        <v>206</v>
      </c>
    </row>
    <row r="10" spans="1:1" ht="20.25" x14ac:dyDescent="0.3">
      <c r="A10" s="136" t="s">
        <v>207</v>
      </c>
    </row>
    <row r="11" spans="1:1" ht="20.25" x14ac:dyDescent="0.3">
      <c r="A11" s="136" t="s">
        <v>208</v>
      </c>
    </row>
    <row r="12" spans="1:1" ht="20.25" x14ac:dyDescent="0.3">
      <c r="A12" s="136" t="s">
        <v>209</v>
      </c>
    </row>
    <row r="13" spans="1:1" ht="20.25" x14ac:dyDescent="0.3">
      <c r="A13" s="136" t="s">
        <v>210</v>
      </c>
    </row>
    <row r="14" spans="1:1" ht="20.25" x14ac:dyDescent="0.3">
      <c r="A14" s="136" t="s">
        <v>211</v>
      </c>
    </row>
    <row r="15" spans="1:1" ht="20.25" x14ac:dyDescent="0.3">
      <c r="A15" s="137" t="s">
        <v>212</v>
      </c>
    </row>
    <row r="16" spans="1:1" ht="20.25" x14ac:dyDescent="0.3">
      <c r="A16" s="136" t="s">
        <v>213</v>
      </c>
    </row>
    <row r="17" spans="1:1" ht="20.25" x14ac:dyDescent="0.3">
      <c r="A17" s="136" t="s">
        <v>214</v>
      </c>
    </row>
    <row r="18" spans="1:1" ht="20.25" x14ac:dyDescent="0.3">
      <c r="A18" s="136" t="s">
        <v>215</v>
      </c>
    </row>
    <row r="19" spans="1:1" ht="20.25" x14ac:dyDescent="0.3">
      <c r="A19" s="137" t="s">
        <v>216</v>
      </c>
    </row>
    <row r="20" spans="1:1" ht="20.25" x14ac:dyDescent="0.3">
      <c r="A20" s="136" t="s">
        <v>217</v>
      </c>
    </row>
    <row r="21" spans="1:1" ht="20.25" x14ac:dyDescent="0.3">
      <c r="A21" s="136" t="s">
        <v>218</v>
      </c>
    </row>
    <row r="22" spans="1:1" ht="20.25" x14ac:dyDescent="0.3">
      <c r="A22" s="136" t="s">
        <v>219</v>
      </c>
    </row>
    <row r="23" spans="1:1" ht="20.25" x14ac:dyDescent="0.3">
      <c r="A23" s="136"/>
    </row>
    <row r="24" spans="1:1" ht="20.25" x14ac:dyDescent="0.3">
      <c r="A24" s="136" t="s">
        <v>220</v>
      </c>
    </row>
    <row r="26" spans="1:1" x14ac:dyDescent="0.25">
      <c r="A26" s="1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57" activePane="bottomLeft" state="frozen"/>
      <selection pane="bottomLeft" activeCell="I57" sqref="I57"/>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5" x14ac:dyDescent="0.25"/>
  <cols>
    <col min="1" max="1" width="48.7109375" customWidth="1"/>
    <col min="2" max="14" width="11.7109375" customWidth="1"/>
    <col min="15" max="15" width="16.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222</v>
      </c>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25">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25">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25">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25">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25">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25">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25">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4"/>
    </row>
    <row r="18" spans="1:15" x14ac:dyDescent="0.25">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25">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25">
      <c r="A20" s="41" t="str">
        <f>+Historicals!A109</f>
        <v>North America</v>
      </c>
      <c r="B20" s="41"/>
      <c r="C20" s="41"/>
      <c r="D20" s="41"/>
      <c r="E20" s="41"/>
      <c r="F20" s="41"/>
      <c r="G20" s="41"/>
      <c r="H20" s="41"/>
      <c r="I20" s="41"/>
      <c r="J20" s="73"/>
      <c r="K20" s="73"/>
      <c r="L20" s="73"/>
      <c r="M20" s="73"/>
      <c r="N20" s="73"/>
      <c r="O20" s="73"/>
    </row>
    <row r="21" spans="1:15" x14ac:dyDescent="0.25">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4"/>
    </row>
    <row r="22" spans="1:15" x14ac:dyDescent="0.25">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25">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5">
        <v>0.03</v>
      </c>
    </row>
    <row r="26" spans="1:15" x14ac:dyDescent="0.25">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25">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5">
        <v>0.03</v>
      </c>
    </row>
    <row r="30" spans="1:15" x14ac:dyDescent="0.25">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25">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25">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25">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25">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25">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25">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25">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25">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25">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25">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25">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25">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25">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25">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25">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25">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25">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25">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25">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25">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25">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25">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25">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25">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25">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25">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25">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25">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25">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25">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25">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25">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25">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5">
        <v>-0.25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25">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25">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25">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25">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25">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25">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25">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25">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25">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25">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25">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25">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25">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25">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25">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25">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25">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25">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25">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25">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25">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25">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25">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25">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25">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25">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25">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25">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25">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25">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25">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25">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25">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25">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25">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25">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25">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25">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25">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25">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25">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25">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25">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25">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25">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25">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25">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25">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25">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25">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25">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25">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25">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25">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25">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25">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25">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25">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25">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25">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25">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25">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25">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25">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25">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25">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25">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25">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25">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25">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25">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25">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25">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25">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25">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25">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25">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25">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25">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25">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25">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25">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7"/>
  <sheetViews>
    <sheetView tabSelected="1" topLeftCell="D1" zoomScale="90" zoomScaleNormal="90" workbookViewId="0">
      <selection activeCell="J16" sqref="J16"/>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1.7109375" bestFit="1" customWidth="1"/>
    <col min="15" max="15" width="66.7109375" style="134" customWidth="1"/>
    <col min="16" max="16" width="35.85546875" style="169" customWidth="1"/>
    <col min="17" max="17" width="47.28515625" customWidth="1"/>
    <col min="18" max="18" width="36.7109375" customWidth="1"/>
  </cols>
  <sheetData>
    <row r="1" spans="1:18" ht="66" customHeight="1" x14ac:dyDescent="0.3">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c r="O1" s="181"/>
      <c r="P1" s="170" t="s">
        <v>228</v>
      </c>
      <c r="Q1" s="37"/>
    </row>
    <row r="2" spans="1:18" x14ac:dyDescent="0.25">
      <c r="A2" s="92" t="s">
        <v>147</v>
      </c>
      <c r="B2" s="92"/>
      <c r="C2" s="92"/>
      <c r="D2" s="92"/>
      <c r="E2" s="92"/>
      <c r="F2" s="92"/>
      <c r="G2" s="92"/>
      <c r="H2" s="92"/>
      <c r="I2" s="92"/>
      <c r="J2" s="37"/>
      <c r="K2" s="37"/>
      <c r="L2" s="37"/>
      <c r="M2" s="37"/>
      <c r="N2" s="37"/>
      <c r="O2" s="175"/>
      <c r="P2" s="27"/>
      <c r="Q2" s="37"/>
    </row>
    <row r="3" spans="1:18"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c r="O3" s="147"/>
      <c r="P3" s="147"/>
      <c r="Q3" s="69"/>
    </row>
    <row r="4" spans="1:18"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c r="O4" s="148"/>
      <c r="P4" s="148"/>
      <c r="Q4" s="70"/>
    </row>
    <row r="5" spans="1:18"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c r="O5" s="147"/>
      <c r="P5" s="147"/>
      <c r="Q5" s="69"/>
    </row>
    <row r="6" spans="1:18"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c r="O6" s="182"/>
      <c r="P6" s="149"/>
      <c r="Q6" s="125"/>
    </row>
    <row r="7" spans="1:18"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c r="O7" s="150"/>
      <c r="P7" s="150"/>
      <c r="Q7" s="126"/>
    </row>
    <row r="8" spans="1:18"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c r="O8" s="148"/>
      <c r="P8" s="148"/>
      <c r="Q8" s="70"/>
    </row>
    <row r="9" spans="1:18"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148"/>
      <c r="P9" s="151"/>
      <c r="Q9" s="71"/>
      <c r="R9" s="19"/>
    </row>
    <row r="10" spans="1:18"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290.7579974993709</v>
      </c>
      <c r="L10" s="126">
        <f t="shared" si="7"/>
        <v>346.30002321849088</v>
      </c>
      <c r="M10" s="126">
        <f t="shared" si="7"/>
        <v>444.52979018274613</v>
      </c>
      <c r="N10" s="126">
        <f t="shared" si="7"/>
        <v>590.35836502368102</v>
      </c>
      <c r="O10" s="150"/>
      <c r="P10" s="150"/>
      <c r="Q10" s="126"/>
    </row>
    <row r="11" spans="1:18"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8875.8002564607177</v>
      </c>
      <c r="L11" s="100">
        <f t="shared" si="8"/>
        <v>10894.025260995522</v>
      </c>
      <c r="M11" s="100">
        <f t="shared" si="8"/>
        <v>13527.514311465953</v>
      </c>
      <c r="N11" s="100">
        <f t="shared" si="8"/>
        <v>15923.282581761005</v>
      </c>
      <c r="O11" s="176"/>
      <c r="P11" s="152"/>
      <c r="Q11" s="94"/>
    </row>
    <row r="12" spans="1:18"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976.92521090694163</v>
      </c>
      <c r="L12" s="126">
        <f t="shared" si="9"/>
        <v>1318.9698258221247</v>
      </c>
      <c r="M12" s="126">
        <f t="shared" si="9"/>
        <v>1801.5950068512211</v>
      </c>
      <c r="N12" s="126">
        <f t="shared" si="9"/>
        <v>2332.7298943925598</v>
      </c>
      <c r="O12" s="150"/>
      <c r="P12" s="150"/>
      <c r="Q12" s="126"/>
    </row>
    <row r="13" spans="1:18"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I13*(1+$R$13)</f>
        <v>0.10006014133213051</v>
      </c>
      <c r="K13" s="84">
        <f t="shared" ref="K13:N13" si="11">J13*(1+$R$13)</f>
        <v>0.11006615546534357</v>
      </c>
      <c r="L13" s="84">
        <f t="shared" si="11"/>
        <v>0.12107277101187794</v>
      </c>
      <c r="M13" s="84">
        <f t="shared" si="11"/>
        <v>0.13318004811306575</v>
      </c>
      <c r="N13" s="84">
        <f t="shared" si="11"/>
        <v>0.14649805292437235</v>
      </c>
      <c r="O13" s="148"/>
      <c r="P13" s="148"/>
      <c r="Q13" t="s">
        <v>224</v>
      </c>
      <c r="R13" s="135">
        <v>0.1</v>
      </c>
    </row>
    <row r="14" spans="1:18"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7898.8750455537756</v>
      </c>
      <c r="L14" s="106">
        <f t="shared" si="12"/>
        <v>9575.0554351733972</v>
      </c>
      <c r="M14" s="106">
        <f t="shared" si="12"/>
        <v>11725.919304614732</v>
      </c>
      <c r="N14" s="106">
        <f t="shared" si="12"/>
        <v>13590.552687368445</v>
      </c>
      <c r="O14" s="176"/>
      <c r="P14" s="152"/>
      <c r="Q14" s="94"/>
    </row>
    <row r="15" spans="1:18"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73">
        <f>I15-(J59/112.86)</f>
        <v>1636.1677122098174</v>
      </c>
      <c r="K15" s="173">
        <f t="shared" ref="K15:N15" si="13">J15-(K59/112.86)</f>
        <v>1661.5354244196349</v>
      </c>
      <c r="L15" s="173">
        <f t="shared" si="13"/>
        <v>1686.9031366294523</v>
      </c>
      <c r="M15" s="173">
        <f t="shared" si="13"/>
        <v>1712.2708488392698</v>
      </c>
      <c r="N15" s="173">
        <f t="shared" si="13"/>
        <v>1737.6385610490872</v>
      </c>
      <c r="O15" s="150" t="s">
        <v>243</v>
      </c>
      <c r="P15" s="153"/>
      <c r="Q15" t="s">
        <v>223</v>
      </c>
    </row>
    <row r="16" spans="1:18"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74">
        <f>J14/J15</f>
        <v>3.7800600415292798</v>
      </c>
      <c r="K16" s="174">
        <f t="shared" ref="K16:N16" si="14">K14/K15</f>
        <v>4.7539612634577493</v>
      </c>
      <c r="L16" s="174">
        <f t="shared" si="14"/>
        <v>5.6761145481684334</v>
      </c>
      <c r="M16" s="174">
        <f t="shared" si="14"/>
        <v>6.8481685082495032</v>
      </c>
      <c r="N16" s="174">
        <f t="shared" si="14"/>
        <v>7.8212771010118711</v>
      </c>
      <c r="O16" s="183"/>
      <c r="P16" s="154"/>
      <c r="Q16" s="133"/>
    </row>
    <row r="17" spans="1:18"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72">
        <f>J16*J19</f>
        <v>1.1553166373265016</v>
      </c>
      <c r="K17" s="172">
        <f t="shared" ref="K17:N17" si="15">K16*K19</f>
        <v>1.4602392906303496</v>
      </c>
      <c r="L17" s="172">
        <f t="shared" si="15"/>
        <v>1.7522077793924125</v>
      </c>
      <c r="M17" s="172">
        <f t="shared" si="15"/>
        <v>2.1245891186797774</v>
      </c>
      <c r="N17" s="172">
        <f t="shared" si="15"/>
        <v>2.4386206624423261</v>
      </c>
      <c r="O17" s="183" t="s">
        <v>244</v>
      </c>
      <c r="P17" s="154" t="s">
        <v>230</v>
      </c>
      <c r="Q17" s="133"/>
      <c r="R17" s="135"/>
    </row>
    <row r="18" spans="1:18" x14ac:dyDescent="0.25">
      <c r="A18" s="104" t="s">
        <v>129</v>
      </c>
      <c r="B18" s="60" t="str">
        <f>IFERROR((B17-A17)/A17,"nm")</f>
        <v>nm</v>
      </c>
      <c r="C18" s="60">
        <f t="shared" ref="C18:J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60">
        <f t="shared" ref="J18" si="17">IFERROR((J17-I17)/I17,"nm")</f>
        <v>1.3056091129846943E-2</v>
      </c>
      <c r="K18" s="60">
        <f t="shared" ref="K18" si="18">IFERROR((K17-J17)/J17,"nm")</f>
        <v>0.26392994219269994</v>
      </c>
      <c r="L18" s="60">
        <f t="shared" ref="L18" si="19">IFERROR((L17-K17)/K17,"nm")</f>
        <v>0.19994564633035394</v>
      </c>
      <c r="M18" s="60">
        <f t="shared" ref="M18" si="20">IFERROR((M17-L17)/L17,"nm")</f>
        <v>0.21252122246397639</v>
      </c>
      <c r="N18" s="60">
        <f t="shared" ref="N18" si="21">IFERROR((N17-M17)/M17,"nm")</f>
        <v>0.14780812958210401</v>
      </c>
      <c r="O18" s="148" t="s">
        <v>238</v>
      </c>
      <c r="P18" s="155" t="s">
        <v>229</v>
      </c>
      <c r="Q18" s="60"/>
      <c r="R18" s="135">
        <v>0.02</v>
      </c>
    </row>
    <row r="19" spans="1:18" x14ac:dyDescent="0.25">
      <c r="A19" s="104" t="s">
        <v>155</v>
      </c>
      <c r="B19" s="96">
        <f>B17/B16</f>
        <v>0.2747319911499016</v>
      </c>
      <c r="C19" s="96">
        <f t="shared" ref="C19:I19" si="22">C17/C16</f>
        <v>0.27153408788989852</v>
      </c>
      <c r="D19" s="96">
        <f t="shared" si="22"/>
        <v>0.26678157346971454</v>
      </c>
      <c r="E19" s="96">
        <f t="shared" si="22"/>
        <v>0.64034305490516696</v>
      </c>
      <c r="F19" s="96">
        <f t="shared" si="22"/>
        <v>0.33053618328975809</v>
      </c>
      <c r="G19" s="96">
        <f t="shared" si="22"/>
        <v>0.57018094998743407</v>
      </c>
      <c r="H19" s="96">
        <f t="shared" si="22"/>
        <v>0.2858906173422156</v>
      </c>
      <c r="I19" s="96">
        <f t="shared" si="22"/>
        <v>0.30411389785613774</v>
      </c>
      <c r="J19" s="60">
        <f>I19*(1+$R$19)</f>
        <v>0.30563446734541838</v>
      </c>
      <c r="K19" s="60">
        <f t="shared" ref="K19:N19" si="23">J19*(1+$R$19)</f>
        <v>0.30716263968214547</v>
      </c>
      <c r="L19" s="60">
        <f t="shared" si="23"/>
        <v>0.30869845288055614</v>
      </c>
      <c r="M19" s="60">
        <f t="shared" si="23"/>
        <v>0.3102419451449589</v>
      </c>
      <c r="N19" s="60">
        <f t="shared" si="23"/>
        <v>0.31179315487068365</v>
      </c>
      <c r="O19" s="184" t="s">
        <v>237</v>
      </c>
      <c r="P19" s="156"/>
      <c r="Q19" s="96"/>
      <c r="R19" s="142">
        <v>5.0000000000000001E-3</v>
      </c>
    </row>
    <row r="20" spans="1:18" x14ac:dyDescent="0.25">
      <c r="A20" s="108" t="s">
        <v>156</v>
      </c>
      <c r="B20" s="92"/>
      <c r="C20" s="92"/>
      <c r="D20" s="92"/>
      <c r="E20" s="92"/>
      <c r="F20" s="92"/>
      <c r="G20" s="92"/>
      <c r="H20" s="92"/>
      <c r="I20" s="92"/>
      <c r="J20" s="128"/>
      <c r="K20" s="128"/>
      <c r="L20" s="128"/>
      <c r="M20" s="128"/>
      <c r="N20" s="128"/>
      <c r="O20" s="147"/>
      <c r="P20" s="147"/>
      <c r="Q20" s="128"/>
    </row>
    <row r="21" spans="1:18"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50">
        <f>I21*(1+$R$21)</f>
        <v>8745.48</v>
      </c>
      <c r="K21" s="50">
        <f t="shared" ref="K21:N21" si="24">J21*(1+$R$21)</f>
        <v>8920.3896000000004</v>
      </c>
      <c r="L21" s="50">
        <f t="shared" si="24"/>
        <v>9098.7973920000004</v>
      </c>
      <c r="M21" s="50">
        <f t="shared" si="24"/>
        <v>9280.7733398400014</v>
      </c>
      <c r="N21" s="50">
        <f t="shared" si="24"/>
        <v>9466.3888066368017</v>
      </c>
      <c r="O21" s="157"/>
      <c r="P21" s="157"/>
      <c r="Q21" t="s">
        <v>225</v>
      </c>
      <c r="R21" s="135">
        <v>0.02</v>
      </c>
    </row>
    <row r="22" spans="1:18"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141">
        <f>I22</f>
        <v>4423</v>
      </c>
      <c r="K22" s="141">
        <f t="shared" ref="K22:N22" si="25">J22</f>
        <v>4423</v>
      </c>
      <c r="L22" s="141">
        <f t="shared" si="25"/>
        <v>4423</v>
      </c>
      <c r="M22" s="141">
        <f t="shared" si="25"/>
        <v>4423</v>
      </c>
      <c r="N22" s="141">
        <f t="shared" si="25"/>
        <v>4423</v>
      </c>
      <c r="O22" s="157"/>
      <c r="P22" s="158"/>
    </row>
    <row r="23" spans="1:18"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J24*J3</f>
        <v>9966.6738674018106</v>
      </c>
      <c r="K23" s="50">
        <f t="shared" ref="K23:N23" si="26">K24*K3</f>
        <v>10944.724944019352</v>
      </c>
      <c r="L23" s="50">
        <f t="shared" si="26"/>
        <v>11644.065141326826</v>
      </c>
      <c r="M23" s="50">
        <f t="shared" si="26"/>
        <v>12262.203404709862</v>
      </c>
      <c r="N23" s="50">
        <f t="shared" si="26"/>
        <v>13039.768490830031</v>
      </c>
      <c r="O23" s="157"/>
      <c r="P23" s="157" t="s">
        <v>231</v>
      </c>
      <c r="Q23" s="69"/>
    </row>
    <row r="24" spans="1:18" x14ac:dyDescent="0.25">
      <c r="A24" s="104" t="s">
        <v>160</v>
      </c>
      <c r="B24" s="96">
        <f>B23/B3</f>
        <v>0.18182412339466031</v>
      </c>
      <c r="C24" s="96">
        <f t="shared" ref="C24:I24" si="27">C23/C3</f>
        <v>0.1818631084754139</v>
      </c>
      <c r="D24" s="96">
        <f t="shared" si="27"/>
        <v>0.19458515283842795</v>
      </c>
      <c r="E24" s="96">
        <f t="shared" si="27"/>
        <v>0.17803665137236585</v>
      </c>
      <c r="F24" s="96">
        <f t="shared" si="27"/>
        <v>0.18615947030702765</v>
      </c>
      <c r="G24" s="96">
        <f t="shared" si="27"/>
        <v>0.21035745795791783</v>
      </c>
      <c r="H24" s="96">
        <f t="shared" si="27"/>
        <v>0.19042166240064665</v>
      </c>
      <c r="I24" s="96">
        <f t="shared" si="27"/>
        <v>0.20828516377649325</v>
      </c>
      <c r="J24" s="82">
        <f>AVERAGE(B24:I24)*(1+$R$24)</f>
        <v>0.19527043079167658</v>
      </c>
      <c r="K24" s="82">
        <f t="shared" ref="K24:N24" si="28">AVERAGE(C24:J24)*(1+$R$24)</f>
        <v>0.19698483498479616</v>
      </c>
      <c r="L24" s="82">
        <f t="shared" si="28"/>
        <v>0.19891285511474238</v>
      </c>
      <c r="M24" s="82">
        <f t="shared" si="28"/>
        <v>0.19946463715497245</v>
      </c>
      <c r="N24" s="82">
        <f t="shared" si="28"/>
        <v>0.20219670534225478</v>
      </c>
      <c r="O24" s="148"/>
      <c r="P24" s="155" t="s">
        <v>229</v>
      </c>
      <c r="Q24" s="144"/>
      <c r="R24" s="135">
        <v>0.02</v>
      </c>
    </row>
    <row r="25" spans="1:18"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141">
        <f>I25</f>
        <v>2129</v>
      </c>
      <c r="K25" s="141">
        <f t="shared" ref="K25:N25" si="29">J25</f>
        <v>2129</v>
      </c>
      <c r="L25" s="141">
        <f t="shared" si="29"/>
        <v>2129</v>
      </c>
      <c r="M25" s="141">
        <f t="shared" si="29"/>
        <v>2129</v>
      </c>
      <c r="N25" s="141">
        <f t="shared" si="29"/>
        <v>2129</v>
      </c>
      <c r="O25" s="157"/>
      <c r="P25" s="158"/>
      <c r="Q25" s="69"/>
    </row>
    <row r="26" spans="1:18"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50">
        <f>I26+I52-J47</f>
        <v>3283.3670857910852</v>
      </c>
      <c r="K26" s="50">
        <f t="shared" ref="K26:N26" si="30">J26+J52-K47</f>
        <v>1774.1288596449763</v>
      </c>
      <c r="L26" s="50">
        <f t="shared" si="30"/>
        <v>220.62411736258082</v>
      </c>
      <c r="M26" s="50">
        <f t="shared" si="30"/>
        <v>-1380.2029554857747</v>
      </c>
      <c r="N26" s="50">
        <f t="shared" si="30"/>
        <v>-3048.0186537766049</v>
      </c>
      <c r="O26" s="157"/>
      <c r="P26" s="157" t="s">
        <v>235</v>
      </c>
      <c r="Q26" s="69"/>
    </row>
    <row r="27" spans="1:18"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141">
        <f t="shared" ref="J27:N30" si="31">I27</f>
        <v>286</v>
      </c>
      <c r="K27" s="141">
        <f t="shared" si="31"/>
        <v>286</v>
      </c>
      <c r="L27" s="141">
        <f t="shared" si="31"/>
        <v>286</v>
      </c>
      <c r="M27" s="141">
        <f t="shared" si="31"/>
        <v>286</v>
      </c>
      <c r="N27" s="141">
        <f t="shared" si="31"/>
        <v>286</v>
      </c>
      <c r="O27" s="157"/>
      <c r="P27" s="158"/>
      <c r="Q27" s="69"/>
    </row>
    <row r="28" spans="1:18"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141">
        <f t="shared" si="31"/>
        <v>284</v>
      </c>
      <c r="K28" s="141">
        <f t="shared" si="31"/>
        <v>284</v>
      </c>
      <c r="L28" s="141">
        <f t="shared" si="31"/>
        <v>284</v>
      </c>
      <c r="M28" s="141">
        <f t="shared" si="31"/>
        <v>284</v>
      </c>
      <c r="N28" s="141">
        <f t="shared" si="31"/>
        <v>284</v>
      </c>
      <c r="O28" s="157"/>
      <c r="P28" s="158"/>
      <c r="Q28" s="69"/>
    </row>
    <row r="29" spans="1:18"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141">
        <f t="shared" si="31"/>
        <v>2926</v>
      </c>
      <c r="K29" s="141">
        <f t="shared" si="31"/>
        <v>2926</v>
      </c>
      <c r="L29" s="141">
        <f t="shared" si="31"/>
        <v>2926</v>
      </c>
      <c r="M29" s="141">
        <f t="shared" si="31"/>
        <v>2926</v>
      </c>
      <c r="N29" s="141">
        <f t="shared" si="31"/>
        <v>2926</v>
      </c>
      <c r="O29" s="157"/>
      <c r="P29" s="158"/>
      <c r="Q29" s="69"/>
    </row>
    <row r="30" spans="1:18"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141">
        <f t="shared" si="31"/>
        <v>3821</v>
      </c>
      <c r="K30" s="141">
        <f t="shared" si="31"/>
        <v>3821</v>
      </c>
      <c r="L30" s="141">
        <f t="shared" si="31"/>
        <v>3821</v>
      </c>
      <c r="M30" s="141">
        <f t="shared" si="31"/>
        <v>3821</v>
      </c>
      <c r="N30" s="141">
        <f t="shared" si="31"/>
        <v>3821</v>
      </c>
      <c r="O30" s="157"/>
      <c r="P30" s="158"/>
      <c r="Q30" s="69"/>
    </row>
    <row r="31" spans="1:18" ht="15.75" thickBot="1" x14ac:dyDescent="0.3">
      <c r="A31" s="105" t="s">
        <v>165</v>
      </c>
      <c r="B31" s="106">
        <f>+B21+B22+B23+B25+B26+B27+B28+B29+B30</f>
        <v>19466</v>
      </c>
      <c r="C31" s="106">
        <f t="shared" ref="C31:N31" si="32">+C21+C22+C23+C25+C26+C27+C28+C29+C30</f>
        <v>19205</v>
      </c>
      <c r="D31" s="106">
        <f t="shared" si="32"/>
        <v>21211</v>
      </c>
      <c r="E31" s="106">
        <f t="shared" si="32"/>
        <v>20257</v>
      </c>
      <c r="F31" s="106">
        <f t="shared" si="32"/>
        <v>21105</v>
      </c>
      <c r="G31" s="106">
        <f t="shared" si="32"/>
        <v>29094</v>
      </c>
      <c r="H31" s="106">
        <f t="shared" si="32"/>
        <v>34904</v>
      </c>
      <c r="I31" s="106">
        <f t="shared" si="32"/>
        <v>36963</v>
      </c>
      <c r="J31" s="106">
        <f t="shared" si="32"/>
        <v>35864.520953192892</v>
      </c>
      <c r="K31" s="106">
        <f t="shared" si="32"/>
        <v>35508.243403664324</v>
      </c>
      <c r="L31" s="106">
        <f t="shared" si="32"/>
        <v>34832.48665068941</v>
      </c>
      <c r="M31" s="106">
        <f t="shared" si="32"/>
        <v>34031.773789064086</v>
      </c>
      <c r="N31" s="106">
        <f t="shared" si="32"/>
        <v>33327.138643690225</v>
      </c>
      <c r="O31" s="176"/>
      <c r="P31" s="152"/>
      <c r="Q31" s="94"/>
    </row>
    <row r="32" spans="1:18" ht="15.75" thickTop="1" x14ac:dyDescent="0.25">
      <c r="A32" s="103" t="s">
        <v>166</v>
      </c>
      <c r="B32" s="102">
        <f>B33+B34</f>
        <v>181</v>
      </c>
      <c r="C32" s="102">
        <f t="shared" ref="C32:I32" si="33">C33+C34</f>
        <v>45</v>
      </c>
      <c r="D32" s="102">
        <f t="shared" si="33"/>
        <v>331</v>
      </c>
      <c r="E32" s="102">
        <f t="shared" si="33"/>
        <v>342</v>
      </c>
      <c r="F32" s="102">
        <f t="shared" si="33"/>
        <v>15</v>
      </c>
      <c r="G32" s="102">
        <f t="shared" si="33"/>
        <v>251</v>
      </c>
      <c r="H32" s="102">
        <f t="shared" si="33"/>
        <v>2</v>
      </c>
      <c r="I32" s="102">
        <f t="shared" si="33"/>
        <v>510</v>
      </c>
      <c r="J32" s="50">
        <f>I32*(1+$R$32)</f>
        <v>538.04999999999995</v>
      </c>
      <c r="K32" s="50">
        <f t="shared" ref="K32:N32" si="34">J32*(1+$R$32)</f>
        <v>567.64274999999986</v>
      </c>
      <c r="L32" s="50">
        <f t="shared" si="34"/>
        <v>598.86310124999977</v>
      </c>
      <c r="M32" s="50">
        <f t="shared" si="34"/>
        <v>631.80057181874975</v>
      </c>
      <c r="N32" s="50">
        <f t="shared" si="34"/>
        <v>666.54960326878097</v>
      </c>
      <c r="O32" s="157"/>
      <c r="P32" s="157"/>
      <c r="Q32" t="s">
        <v>226</v>
      </c>
      <c r="R32" s="142">
        <v>5.5E-2</v>
      </c>
    </row>
    <row r="33" spans="1:18"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f>
        <v>500</v>
      </c>
      <c r="K33" s="50">
        <f t="shared" ref="K33:N33" si="35">J33</f>
        <v>500</v>
      </c>
      <c r="L33" s="50">
        <f t="shared" si="35"/>
        <v>500</v>
      </c>
      <c r="M33" s="50">
        <f t="shared" si="35"/>
        <v>500</v>
      </c>
      <c r="N33" s="50">
        <f t="shared" si="35"/>
        <v>500</v>
      </c>
      <c r="O33" s="157"/>
      <c r="P33" s="157" t="s">
        <v>232</v>
      </c>
      <c r="Q33" s="69"/>
      <c r="R33" s="143">
        <v>-0.25</v>
      </c>
    </row>
    <row r="34" spans="1:18"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141">
        <f>I34</f>
        <v>10</v>
      </c>
      <c r="K34" s="141">
        <f t="shared" ref="K34:N34" si="36">J34</f>
        <v>10</v>
      </c>
      <c r="L34" s="141">
        <f t="shared" si="36"/>
        <v>10</v>
      </c>
      <c r="M34" s="141">
        <f t="shared" si="36"/>
        <v>10</v>
      </c>
      <c r="N34" s="141">
        <f t="shared" si="36"/>
        <v>10</v>
      </c>
      <c r="O34" s="157"/>
      <c r="P34" s="158"/>
      <c r="Q34" s="69"/>
    </row>
    <row r="35" spans="1:18"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141">
        <f>I35</f>
        <v>6862</v>
      </c>
      <c r="K35" s="141">
        <f t="shared" ref="K35:N35" si="37">J35</f>
        <v>6862</v>
      </c>
      <c r="L35" s="141">
        <f t="shared" si="37"/>
        <v>6862</v>
      </c>
      <c r="M35" s="141">
        <f t="shared" si="37"/>
        <v>6862</v>
      </c>
      <c r="N35" s="141">
        <f t="shared" si="37"/>
        <v>6862</v>
      </c>
      <c r="O35" s="157"/>
      <c r="P35" s="158"/>
      <c r="Q35" s="69"/>
    </row>
    <row r="36" spans="1:18"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f>I36-J62</f>
        <v>8920</v>
      </c>
      <c r="K36" s="50">
        <f t="shared" ref="K36:N36" si="38">J36-K62</f>
        <v>8920</v>
      </c>
      <c r="L36" s="50">
        <f t="shared" si="38"/>
        <v>8920</v>
      </c>
      <c r="M36" s="50">
        <f t="shared" si="38"/>
        <v>8920</v>
      </c>
      <c r="N36" s="50">
        <f t="shared" si="38"/>
        <v>8920</v>
      </c>
      <c r="O36" s="157"/>
      <c r="P36" s="157" t="s">
        <v>233</v>
      </c>
      <c r="Q36" t="s">
        <v>227</v>
      </c>
    </row>
    <row r="37" spans="1:18"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141">
        <f>I37</f>
        <v>2777</v>
      </c>
      <c r="K37" s="141">
        <f t="shared" ref="K37:N37" si="39">J37</f>
        <v>2777</v>
      </c>
      <c r="L37" s="141">
        <f t="shared" si="39"/>
        <v>2777</v>
      </c>
      <c r="M37" s="141">
        <f t="shared" si="39"/>
        <v>2777</v>
      </c>
      <c r="N37" s="141">
        <f t="shared" si="39"/>
        <v>2777</v>
      </c>
      <c r="O37" s="157"/>
      <c r="P37" s="158"/>
      <c r="Q37" s="69"/>
    </row>
    <row r="38" spans="1:18"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141">
        <f t="shared" ref="J38:N40" si="40">I38</f>
        <v>2613</v>
      </c>
      <c r="K38" s="141">
        <f t="shared" si="40"/>
        <v>2613</v>
      </c>
      <c r="L38" s="141">
        <f t="shared" si="40"/>
        <v>2613</v>
      </c>
      <c r="M38" s="141">
        <f t="shared" si="40"/>
        <v>2613</v>
      </c>
      <c r="N38" s="141">
        <f t="shared" si="40"/>
        <v>2613</v>
      </c>
      <c r="O38" s="157"/>
      <c r="P38" s="158"/>
      <c r="Q38" s="69"/>
    </row>
    <row r="39" spans="1:18" x14ac:dyDescent="0.25">
      <c r="A39" s="103" t="s">
        <v>169</v>
      </c>
      <c r="B39" s="102"/>
      <c r="C39" s="102"/>
      <c r="D39" s="102"/>
      <c r="E39" s="102"/>
      <c r="F39" s="102"/>
      <c r="G39" s="102"/>
      <c r="H39" s="102"/>
      <c r="I39" s="102"/>
      <c r="J39" s="141">
        <f t="shared" si="40"/>
        <v>0</v>
      </c>
      <c r="K39" s="141">
        <f t="shared" si="40"/>
        <v>0</v>
      </c>
      <c r="L39" s="141">
        <f t="shared" si="40"/>
        <v>0</v>
      </c>
      <c r="M39" s="141">
        <f t="shared" si="40"/>
        <v>0</v>
      </c>
      <c r="N39" s="141">
        <f t="shared" si="40"/>
        <v>0</v>
      </c>
      <c r="O39" s="157"/>
      <c r="P39" s="158"/>
      <c r="Q39" s="69"/>
    </row>
    <row r="40" spans="1:18"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141">
        <f t="shared" si="40"/>
        <v>3</v>
      </c>
      <c r="K40" s="141">
        <f t="shared" si="40"/>
        <v>3</v>
      </c>
      <c r="L40" s="141">
        <f t="shared" si="40"/>
        <v>3</v>
      </c>
      <c r="M40" s="141">
        <f t="shared" si="40"/>
        <v>3</v>
      </c>
      <c r="N40" s="141">
        <f t="shared" si="40"/>
        <v>3</v>
      </c>
      <c r="O40" s="157"/>
      <c r="P40" s="158"/>
      <c r="Q40" s="69"/>
    </row>
    <row r="41" spans="1:18"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(I41+J14)+J61</f>
        <v>7770.5204107922691</v>
      </c>
      <c r="K41" s="50">
        <f t="shared" ref="K41:N41" si="41">(J41+K14)+K61</f>
        <v>13243.156146834321</v>
      </c>
      <c r="L41" s="50">
        <f t="shared" si="41"/>
        <v>19862.406782924128</v>
      </c>
      <c r="M41" s="50">
        <f t="shared" si="41"/>
        <v>27950.454073862362</v>
      </c>
      <c r="N41" s="50">
        <f t="shared" si="41"/>
        <v>37303.565462399951</v>
      </c>
      <c r="O41" s="157" t="s">
        <v>236</v>
      </c>
      <c r="P41" s="157" t="s">
        <v>234</v>
      </c>
      <c r="Q41" s="69"/>
    </row>
    <row r="42" spans="1:18"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141">
        <f>I42</f>
        <v>11802</v>
      </c>
      <c r="K42" s="141">
        <f t="shared" ref="K42:N42" si="42">J42</f>
        <v>11802</v>
      </c>
      <c r="L42" s="141">
        <f t="shared" si="42"/>
        <v>11802</v>
      </c>
      <c r="M42" s="141">
        <f t="shared" si="42"/>
        <v>11802</v>
      </c>
      <c r="N42" s="141">
        <f t="shared" si="42"/>
        <v>11802</v>
      </c>
      <c r="O42" s="157"/>
      <c r="P42" s="158"/>
      <c r="Q42" s="69"/>
    </row>
    <row r="43" spans="1:18" ht="15.75" thickBot="1" x14ac:dyDescent="0.3">
      <c r="A43" s="105" t="s">
        <v>173</v>
      </c>
      <c r="B43" s="106">
        <f>SUM(B33:B38)+SUM(B40:B42)</f>
        <v>19466</v>
      </c>
      <c r="C43" s="106">
        <f t="shared" ref="C43:N43" si="43">SUM(C33:C38)+SUM(C40:C42)</f>
        <v>19205</v>
      </c>
      <c r="D43" s="106">
        <f t="shared" si="43"/>
        <v>21211</v>
      </c>
      <c r="E43" s="106">
        <f t="shared" si="43"/>
        <v>20257</v>
      </c>
      <c r="F43" s="106">
        <f t="shared" si="43"/>
        <v>21105</v>
      </c>
      <c r="G43" s="106">
        <f t="shared" si="43"/>
        <v>29094</v>
      </c>
      <c r="H43" s="106">
        <f t="shared" si="43"/>
        <v>34904</v>
      </c>
      <c r="I43" s="106">
        <f t="shared" si="43"/>
        <v>36963</v>
      </c>
      <c r="J43" s="106">
        <f t="shared" si="43"/>
        <v>41257.520410792269</v>
      </c>
      <c r="K43" s="106">
        <f t="shared" si="43"/>
        <v>46730.156146834321</v>
      </c>
      <c r="L43" s="106">
        <f t="shared" si="43"/>
        <v>53349.406782924125</v>
      </c>
      <c r="M43" s="106">
        <f t="shared" si="43"/>
        <v>61437.454073862362</v>
      </c>
      <c r="N43" s="106">
        <f t="shared" si="43"/>
        <v>70790.565462399943</v>
      </c>
      <c r="O43" s="176"/>
      <c r="P43" s="152"/>
      <c r="Q43" s="94"/>
    </row>
    <row r="44" spans="1:18" ht="15.75" thickTop="1" x14ac:dyDescent="0.25">
      <c r="A44" s="110" t="s">
        <v>174</v>
      </c>
      <c r="B44" s="110">
        <f>B31-B43</f>
        <v>0</v>
      </c>
      <c r="C44" s="110">
        <f t="shared" ref="C44:I44" si="44">C31-C43</f>
        <v>0</v>
      </c>
      <c r="D44" s="110">
        <f t="shared" si="44"/>
        <v>0</v>
      </c>
      <c r="E44" s="110">
        <f t="shared" si="44"/>
        <v>0</v>
      </c>
      <c r="F44" s="110">
        <f t="shared" si="44"/>
        <v>0</v>
      </c>
      <c r="G44" s="110">
        <f t="shared" si="44"/>
        <v>0</v>
      </c>
      <c r="H44" s="110">
        <f t="shared" si="44"/>
        <v>0</v>
      </c>
      <c r="I44" s="110">
        <f t="shared" si="44"/>
        <v>0</v>
      </c>
      <c r="J44" s="110">
        <f>+J31-J43</f>
        <v>-5392.9994575993769</v>
      </c>
      <c r="K44" s="171">
        <f t="shared" ref="K44:N44" si="45">+K31-K43</f>
        <v>-11221.912743169996</v>
      </c>
      <c r="L44" s="171">
        <f t="shared" si="45"/>
        <v>-18516.920132234714</v>
      </c>
      <c r="M44" s="171">
        <f t="shared" si="45"/>
        <v>-27405.680284798276</v>
      </c>
      <c r="N44" s="171">
        <f t="shared" si="45"/>
        <v>-37463.426818709719</v>
      </c>
      <c r="O44" s="177"/>
      <c r="P44" s="159"/>
      <c r="Q44" s="110"/>
      <c r="R44" s="1"/>
    </row>
    <row r="45" spans="1:18" x14ac:dyDescent="0.25">
      <c r="A45" s="108" t="s">
        <v>175</v>
      </c>
      <c r="B45" s="92"/>
      <c r="C45" s="92"/>
      <c r="D45" s="92"/>
      <c r="E45" s="92"/>
      <c r="F45" s="92"/>
      <c r="G45" s="92"/>
      <c r="H45" s="92"/>
      <c r="I45" s="92"/>
      <c r="J45" s="128"/>
      <c r="K45" s="128"/>
      <c r="L45" s="128"/>
      <c r="M45" s="128"/>
      <c r="N45" s="128"/>
      <c r="O45" s="147"/>
      <c r="P45" s="147"/>
      <c r="Q45" s="128"/>
    </row>
    <row r="46" spans="1:18"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94">
        <f>'Segmental forecast'!J11</f>
        <v>7121.118788703614</v>
      </c>
      <c r="K46" s="94">
        <f>'Segmental forecast'!K11</f>
        <v>9166.5582539600891</v>
      </c>
      <c r="L46" s="94">
        <f>'Segmental forecast'!L11</f>
        <v>11240.325284214014</v>
      </c>
      <c r="M46" s="94">
        <f>'Segmental forecast'!M11</f>
        <v>13972.044101648698</v>
      </c>
      <c r="N46" s="94">
        <f>'Segmental forecast'!N11</f>
        <v>16513.640946784686</v>
      </c>
      <c r="O46" s="150"/>
      <c r="P46" s="160"/>
      <c r="Q46" s="129"/>
    </row>
    <row r="47" spans="1:18"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c r="O47" s="157"/>
      <c r="P47" s="157"/>
      <c r="Q47" s="69"/>
    </row>
    <row r="48" spans="1:18"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50">
        <f>J12</f>
        <v>687.66059853890476</v>
      </c>
      <c r="K48" s="50">
        <f t="shared" ref="K48:N48" si="46">K12</f>
        <v>976.92521090694163</v>
      </c>
      <c r="L48" s="50">
        <f t="shared" si="46"/>
        <v>1318.9698258221247</v>
      </c>
      <c r="M48" s="50">
        <f t="shared" si="46"/>
        <v>1801.5950068512211</v>
      </c>
      <c r="N48" s="50">
        <f t="shared" si="46"/>
        <v>2332.7298943925598</v>
      </c>
      <c r="O48" s="157" t="s">
        <v>239</v>
      </c>
      <c r="P48" s="158"/>
      <c r="Q48" s="69"/>
    </row>
    <row r="49" spans="1:18" x14ac:dyDescent="0.25">
      <c r="A49" s="93" t="s">
        <v>177</v>
      </c>
      <c r="B49" s="94">
        <f>B46-B48</f>
        <v>2971</v>
      </c>
      <c r="C49" s="94">
        <f t="shared" ref="C49:N49" si="47">C46-C48</f>
        <v>3894</v>
      </c>
      <c r="D49" s="94">
        <f t="shared" si="47"/>
        <v>4242</v>
      </c>
      <c r="E49" s="94">
        <f t="shared" si="47"/>
        <v>3850</v>
      </c>
      <c r="F49" s="94">
        <f t="shared" si="47"/>
        <v>4093</v>
      </c>
      <c r="G49" s="94">
        <f t="shared" si="47"/>
        <v>1948</v>
      </c>
      <c r="H49" s="94">
        <f t="shared" si="47"/>
        <v>5746</v>
      </c>
      <c r="I49" s="94">
        <f t="shared" si="47"/>
        <v>5625</v>
      </c>
      <c r="J49" s="98">
        <f t="shared" si="47"/>
        <v>6433.4581901647089</v>
      </c>
      <c r="K49" s="98">
        <f t="shared" si="47"/>
        <v>8189.633043053147</v>
      </c>
      <c r="L49" s="98">
        <f t="shared" si="47"/>
        <v>9921.3554583918885</v>
      </c>
      <c r="M49" s="98">
        <f t="shared" si="47"/>
        <v>12170.449094797477</v>
      </c>
      <c r="N49" s="98">
        <f t="shared" si="47"/>
        <v>14180.911052392126</v>
      </c>
      <c r="O49" s="178"/>
      <c r="P49" s="97"/>
      <c r="Q49" s="94"/>
    </row>
    <row r="50" spans="1:18"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$Q$50*J67</f>
        <v>248.64600000000002</v>
      </c>
      <c r="K50" s="50">
        <f t="shared" ref="K50:N50" si="48">$Q$50*K67</f>
        <v>290.7579974993709</v>
      </c>
      <c r="L50" s="50">
        <f t="shared" si="48"/>
        <v>346.30002321849088</v>
      </c>
      <c r="M50" s="50">
        <f t="shared" si="48"/>
        <v>444.52979018274613</v>
      </c>
      <c r="N50" s="50">
        <f t="shared" si="48"/>
        <v>590.35836502368102</v>
      </c>
      <c r="O50" s="157"/>
      <c r="P50" s="157"/>
      <c r="Q50" s="140">
        <v>2.9000000000000001E-2</v>
      </c>
    </row>
    <row r="51" spans="1:18" x14ac:dyDescent="0.25">
      <c r="A51" s="103" t="s">
        <v>179</v>
      </c>
      <c r="B51" s="122">
        <f>-(B23-B77)</f>
        <v>-1138</v>
      </c>
      <c r="C51" s="122">
        <f>-(C23-B23)</f>
        <v>-324</v>
      </c>
      <c r="D51" s="122">
        <f t="shared" ref="D51:I51" si="49">-(D23-C23)</f>
        <v>-796</v>
      </c>
      <c r="E51" s="122">
        <f t="shared" si="49"/>
        <v>204</v>
      </c>
      <c r="F51" s="122">
        <f t="shared" si="49"/>
        <v>-802</v>
      </c>
      <c r="G51" s="122">
        <f t="shared" si="49"/>
        <v>-586</v>
      </c>
      <c r="H51" s="122">
        <f t="shared" si="49"/>
        <v>-613</v>
      </c>
      <c r="I51" s="122">
        <f t="shared" si="49"/>
        <v>-1248</v>
      </c>
      <c r="J51" s="122">
        <f t="shared" ref="J51" si="50">-(J23-I23)</f>
        <v>-237.67386740181064</v>
      </c>
      <c r="K51" s="122">
        <f t="shared" ref="K51" si="51">-(K23-J23)</f>
        <v>-978.05107661754118</v>
      </c>
      <c r="L51" s="122">
        <f t="shared" ref="L51" si="52">-(L23-K23)</f>
        <v>-699.34019730747423</v>
      </c>
      <c r="M51" s="122">
        <f t="shared" ref="M51" si="53">-(M23-L23)</f>
        <v>-618.13826338303625</v>
      </c>
      <c r="N51" s="122">
        <f t="shared" ref="N51" si="54">-(N23-M23)</f>
        <v>-777.56508612016842</v>
      </c>
      <c r="O51" s="185"/>
      <c r="P51" s="161"/>
      <c r="Q51" s="122"/>
    </row>
    <row r="52" spans="1:18"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0">
        <f>-'Segmental forecast'!J14</f>
        <v>-739.98761279347923</v>
      </c>
      <c r="K52" s="130">
        <f>-'Segmental forecast'!K14</f>
        <v>-776.35100409996085</v>
      </c>
      <c r="L52" s="130">
        <f>-'Segmental forecast'!L14</f>
        <v>-793.1308565882531</v>
      </c>
      <c r="M52" s="130">
        <f>-'Segmental forecast'!M14</f>
        <v>-830.56348775891195</v>
      </c>
      <c r="N52" s="130">
        <f>-'Segmental forecast'!N14</f>
        <v>-868.465491370515</v>
      </c>
      <c r="O52" s="186"/>
      <c r="P52" s="162"/>
      <c r="Q52" s="130"/>
    </row>
    <row r="53" spans="1:18" x14ac:dyDescent="0.25">
      <c r="A53" s="93" t="s">
        <v>180</v>
      </c>
      <c r="B53" s="94">
        <f>B52+B49+B55+B56</f>
        <v>6688</v>
      </c>
      <c r="C53" s="94">
        <f t="shared" ref="C53:N53" si="55">C52+C49+C55+C56</f>
        <v>5847</v>
      </c>
      <c r="D53" s="94">
        <f t="shared" si="55"/>
        <v>6983</v>
      </c>
      <c r="E53" s="94">
        <f t="shared" si="55"/>
        <v>7777</v>
      </c>
      <c r="F53" s="94">
        <f t="shared" si="55"/>
        <v>8877</v>
      </c>
      <c r="G53" s="94">
        <f t="shared" si="55"/>
        <v>3347</v>
      </c>
      <c r="H53" s="94">
        <f t="shared" si="55"/>
        <v>11708</v>
      </c>
      <c r="I53" s="94">
        <f t="shared" si="55"/>
        <v>10055</v>
      </c>
      <c r="J53" s="98">
        <f t="shared" si="55"/>
        <v>12638.887814343043</v>
      </c>
      <c r="K53" s="98">
        <f t="shared" si="55"/>
        <v>15394.114618741422</v>
      </c>
      <c r="L53" s="98">
        <f t="shared" si="55"/>
        <v>19127.393601070486</v>
      </c>
      <c r="M53" s="98">
        <f t="shared" si="55"/>
        <v>23699.892654713109</v>
      </c>
      <c r="N53" s="98">
        <f t="shared" si="55"/>
        <v>27553.043737825486</v>
      </c>
      <c r="O53" s="178"/>
      <c r="P53" s="97"/>
      <c r="Q53" s="94"/>
    </row>
    <row r="54" spans="1:18"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50"/>
      <c r="K54" s="50"/>
      <c r="L54" s="50"/>
      <c r="M54" s="50"/>
      <c r="N54" s="50"/>
      <c r="O54" s="157" t="s">
        <v>240</v>
      </c>
      <c r="P54" s="158"/>
      <c r="Q54" s="69"/>
    </row>
    <row r="55" spans="1:18" x14ac:dyDescent="0.25">
      <c r="A55" s="112" t="s">
        <v>182</v>
      </c>
      <c r="B55" s="113">
        <f>B49+B47-(-B51)+B54</f>
        <v>4680</v>
      </c>
      <c r="C55" s="113">
        <f t="shared" ref="C55:N55" si="56">C49+C47-(-C51)+C54</f>
        <v>3096</v>
      </c>
      <c r="D55" s="113">
        <f t="shared" si="56"/>
        <v>3846</v>
      </c>
      <c r="E55" s="113">
        <f t="shared" si="56"/>
        <v>4955</v>
      </c>
      <c r="F55" s="113">
        <f t="shared" si="56"/>
        <v>5903</v>
      </c>
      <c r="G55" s="113">
        <f t="shared" si="56"/>
        <v>2485</v>
      </c>
      <c r="H55" s="113">
        <f t="shared" si="56"/>
        <v>6657</v>
      </c>
      <c r="I55" s="113">
        <f t="shared" si="56"/>
        <v>5188</v>
      </c>
      <c r="J55" s="113">
        <f t="shared" si="56"/>
        <v>6945.4172369718135</v>
      </c>
      <c r="K55" s="113">
        <f t="shared" si="56"/>
        <v>7980.8325797882353</v>
      </c>
      <c r="L55" s="113">
        <f t="shared" si="56"/>
        <v>9999.1689992668489</v>
      </c>
      <c r="M55" s="113">
        <f t="shared" si="56"/>
        <v>12360.007047674544</v>
      </c>
      <c r="N55" s="113">
        <f t="shared" si="56"/>
        <v>14240.598176803876</v>
      </c>
      <c r="O55" s="176"/>
      <c r="P55" s="152"/>
      <c r="Q55" s="94"/>
    </row>
    <row r="56" spans="1:18" x14ac:dyDescent="0.25">
      <c r="A56" s="103" t="s">
        <v>183</v>
      </c>
      <c r="B56" s="102"/>
      <c r="C56" s="102"/>
      <c r="D56" s="102"/>
      <c r="E56" s="102"/>
      <c r="F56" s="102"/>
      <c r="G56" s="102"/>
      <c r="H56" s="102"/>
      <c r="I56" s="102"/>
      <c r="J56" s="127"/>
      <c r="K56" s="127"/>
      <c r="L56" s="127"/>
      <c r="M56" s="127"/>
      <c r="N56" s="127"/>
      <c r="O56" s="150"/>
      <c r="P56" s="150"/>
      <c r="Q56" s="127"/>
    </row>
    <row r="57" spans="1:18"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45"/>
      <c r="K57" s="145"/>
      <c r="L57" s="145"/>
      <c r="M57" s="145"/>
      <c r="N57" s="145"/>
      <c r="O57" s="157" t="s">
        <v>240</v>
      </c>
      <c r="P57" s="163"/>
      <c r="Q57" s="131"/>
    </row>
    <row r="58" spans="1:18" x14ac:dyDescent="0.25">
      <c r="A58" s="112" t="s">
        <v>185</v>
      </c>
      <c r="B58" s="113">
        <f>B52+B57</f>
        <v>-175</v>
      </c>
      <c r="C58" s="113">
        <f t="shared" ref="C58:N58" si="57">C52+C57</f>
        <v>-1034</v>
      </c>
      <c r="D58" s="113">
        <f t="shared" si="57"/>
        <v>-1008</v>
      </c>
      <c r="E58" s="113">
        <f t="shared" si="57"/>
        <v>276</v>
      </c>
      <c r="F58" s="113">
        <f t="shared" si="57"/>
        <v>-264</v>
      </c>
      <c r="G58" s="113">
        <f t="shared" si="57"/>
        <v>-1028</v>
      </c>
      <c r="H58" s="113">
        <f t="shared" si="57"/>
        <v>-3800</v>
      </c>
      <c r="I58" s="113">
        <f t="shared" si="57"/>
        <v>-1524</v>
      </c>
      <c r="J58" s="132">
        <f t="shared" si="57"/>
        <v>-739.98761279347923</v>
      </c>
      <c r="K58" s="132">
        <f t="shared" si="57"/>
        <v>-776.35100409996085</v>
      </c>
      <c r="L58" s="132">
        <f t="shared" si="57"/>
        <v>-793.1308565882531</v>
      </c>
      <c r="M58" s="132">
        <f t="shared" si="57"/>
        <v>-830.56348775891195</v>
      </c>
      <c r="N58" s="132">
        <f t="shared" si="57"/>
        <v>-868.465491370515</v>
      </c>
      <c r="O58" s="179"/>
      <c r="P58" s="164"/>
      <c r="Q58" s="139"/>
    </row>
    <row r="59" spans="1:18"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46">
        <f>I59</f>
        <v>-2863</v>
      </c>
      <c r="K59" s="146">
        <f t="shared" ref="K59:N59" si="58">J59</f>
        <v>-2863</v>
      </c>
      <c r="L59" s="146">
        <f t="shared" si="58"/>
        <v>-2863</v>
      </c>
      <c r="M59" s="146">
        <f t="shared" si="58"/>
        <v>-2863</v>
      </c>
      <c r="N59" s="146">
        <f t="shared" si="58"/>
        <v>-2863</v>
      </c>
      <c r="O59" s="165"/>
      <c r="P59" s="163"/>
      <c r="Q59" t="s">
        <v>223</v>
      </c>
    </row>
    <row r="60" spans="1:18" x14ac:dyDescent="0.25">
      <c r="A60" s="104" t="s">
        <v>129</v>
      </c>
      <c r="B60" s="60" t="str">
        <f>IFERROR((B59-A59)/A59,"nm")</f>
        <v>nm</v>
      </c>
      <c r="C60" s="60">
        <f t="shared" ref="C60:I60" si="59">IFERROR((C59-B59)/B59,"nm")</f>
        <v>0.35198019801980196</v>
      </c>
      <c r="D60" s="60">
        <f t="shared" si="59"/>
        <v>1.0984987184181618E-3</v>
      </c>
      <c r="E60" s="60">
        <f t="shared" si="59"/>
        <v>0.28785662033650328</v>
      </c>
      <c r="F60" s="60">
        <f t="shared" si="59"/>
        <v>1.8460664583925021E-2</v>
      </c>
      <c r="G60" s="60">
        <f t="shared" si="59"/>
        <v>-0.39152258784160626</v>
      </c>
      <c r="H60" s="60">
        <f t="shared" si="59"/>
        <v>-1.2584784601283225</v>
      </c>
      <c r="I60" s="60">
        <f t="shared" si="59"/>
        <v>-6.0762411347517729</v>
      </c>
      <c r="J60" s="82">
        <f>AVERAGE(C60:I60)*(1+$R$60)</f>
        <v>-1.060026930159458</v>
      </c>
      <c r="K60" s="82">
        <f t="shared" ref="K60:N60" si="60">AVERAGE(D60:J60)*(1+$R$60)</f>
        <v>-1.2718279993863471</v>
      </c>
      <c r="L60" s="82">
        <f t="shared" si="60"/>
        <v>-1.4627669741020619</v>
      </c>
      <c r="M60" s="82">
        <f t="shared" si="60"/>
        <v>-1.7253605132678465</v>
      </c>
      <c r="N60" s="82">
        <f t="shared" si="60"/>
        <v>-1.9869336899456123</v>
      </c>
      <c r="O60" s="148" t="s">
        <v>241</v>
      </c>
      <c r="P60" s="155"/>
      <c r="Q60" s="60"/>
      <c r="R60" s="135">
        <v>0.05</v>
      </c>
    </row>
    <row r="61" spans="1:18"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45">
        <f>-J17*J15</f>
        <v>-1890.2917793724414</v>
      </c>
      <c r="K61" s="145">
        <f t="shared" ref="K61:N61" si="61">-K17*K15</f>
        <v>-2426.2393095117245</v>
      </c>
      <c r="L61" s="145">
        <f t="shared" si="61"/>
        <v>-2955.804799083588</v>
      </c>
      <c r="M61" s="145">
        <f t="shared" si="61"/>
        <v>-3637.8720136764987</v>
      </c>
      <c r="N61" s="145">
        <f t="shared" si="61"/>
        <v>-4237.441298830855</v>
      </c>
      <c r="O61" s="165" t="s">
        <v>242</v>
      </c>
      <c r="P61" s="165"/>
      <c r="Q61" s="145"/>
      <c r="R61" s="142"/>
    </row>
    <row r="62" spans="1:18"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45"/>
      <c r="K62" s="145"/>
      <c r="L62" s="145"/>
      <c r="M62" s="145"/>
      <c r="N62" s="145"/>
      <c r="O62" s="157" t="s">
        <v>240</v>
      </c>
      <c r="P62" s="163"/>
    </row>
    <row r="63" spans="1:18"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45"/>
      <c r="K63" s="145"/>
      <c r="L63" s="145"/>
      <c r="M63" s="145"/>
      <c r="N63" s="145"/>
      <c r="O63" s="157" t="s">
        <v>240</v>
      </c>
      <c r="P63" s="163"/>
      <c r="Q63" s="131"/>
    </row>
    <row r="64" spans="1:18" x14ac:dyDescent="0.25">
      <c r="A64" s="112" t="s">
        <v>190</v>
      </c>
      <c r="B64" s="113">
        <f>B59+B61+B62+B63</f>
        <v>-2790</v>
      </c>
      <c r="C64" s="113">
        <f t="shared" ref="C64:N64" si="62">C59+C61+C62+C63</f>
        <v>-2671</v>
      </c>
      <c r="D64" s="113">
        <f t="shared" si="62"/>
        <v>-2148</v>
      </c>
      <c r="E64" s="113">
        <f t="shared" si="62"/>
        <v>-4835</v>
      </c>
      <c r="F64" s="113">
        <f t="shared" si="62"/>
        <v>-5293</v>
      </c>
      <c r="G64" s="113">
        <f t="shared" si="62"/>
        <v>2491</v>
      </c>
      <c r="H64" s="113">
        <f t="shared" si="62"/>
        <v>-1459</v>
      </c>
      <c r="I64" s="113">
        <f t="shared" si="62"/>
        <v>-4836</v>
      </c>
      <c r="J64" s="113">
        <f t="shared" si="62"/>
        <v>-4753.2917793724409</v>
      </c>
      <c r="K64" s="113">
        <f t="shared" si="62"/>
        <v>-5289.2393095117241</v>
      </c>
      <c r="L64" s="113">
        <f t="shared" si="62"/>
        <v>-5818.8047990835876</v>
      </c>
      <c r="M64" s="113">
        <f t="shared" si="62"/>
        <v>-6500.8720136764987</v>
      </c>
      <c r="N64" s="113">
        <f t="shared" si="62"/>
        <v>-7100.441298830855</v>
      </c>
      <c r="O64" s="176"/>
      <c r="P64" s="152"/>
      <c r="Q64" s="94"/>
    </row>
    <row r="65" spans="1:18"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45"/>
      <c r="K65" s="145"/>
      <c r="L65" s="145"/>
      <c r="M65" s="145"/>
      <c r="N65" s="145"/>
      <c r="O65" s="157" t="s">
        <v>240</v>
      </c>
      <c r="P65" s="163"/>
      <c r="Q65" s="131"/>
    </row>
    <row r="66" spans="1:18" x14ac:dyDescent="0.25">
      <c r="A66" s="112" t="s">
        <v>192</v>
      </c>
      <c r="B66" s="113">
        <f>B55+B58+B64+B65</f>
        <v>1632</v>
      </c>
      <c r="C66" s="113">
        <f t="shared" ref="C66:N66" si="63">C55+C58+C64+C65</f>
        <v>-714</v>
      </c>
      <c r="D66" s="113">
        <f t="shared" si="63"/>
        <v>670</v>
      </c>
      <c r="E66" s="113">
        <f t="shared" si="63"/>
        <v>441</v>
      </c>
      <c r="F66" s="113">
        <f t="shared" si="63"/>
        <v>217</v>
      </c>
      <c r="G66" s="113">
        <f t="shared" si="63"/>
        <v>3882</v>
      </c>
      <c r="H66" s="113">
        <f t="shared" si="63"/>
        <v>1541</v>
      </c>
      <c r="I66" s="113">
        <f t="shared" si="63"/>
        <v>-1315</v>
      </c>
      <c r="J66" s="113">
        <f t="shared" si="63"/>
        <v>1452.1378448058931</v>
      </c>
      <c r="K66" s="113">
        <f t="shared" si="63"/>
        <v>1915.2422661765504</v>
      </c>
      <c r="L66" s="113">
        <f t="shared" si="63"/>
        <v>3387.2333435950077</v>
      </c>
      <c r="M66" s="113">
        <f t="shared" si="63"/>
        <v>5028.5715462391327</v>
      </c>
      <c r="N66" s="113">
        <f t="shared" si="63"/>
        <v>6271.691386602507</v>
      </c>
      <c r="O66" s="176"/>
      <c r="P66" s="152"/>
      <c r="Q66" s="94"/>
    </row>
    <row r="67" spans="1:18" x14ac:dyDescent="0.25">
      <c r="A67" s="103" t="s">
        <v>193</v>
      </c>
      <c r="B67" s="102">
        <f>Historicals!B97</f>
        <v>2220</v>
      </c>
      <c r="C67" s="102">
        <f>B68</f>
        <v>3852</v>
      </c>
      <c r="D67" s="102">
        <f t="shared" ref="D67:I67" si="64">C68</f>
        <v>3138</v>
      </c>
      <c r="E67" s="102">
        <f t="shared" si="64"/>
        <v>3808</v>
      </c>
      <c r="F67" s="102">
        <f t="shared" si="64"/>
        <v>4249</v>
      </c>
      <c r="G67" s="102">
        <f t="shared" si="64"/>
        <v>4466</v>
      </c>
      <c r="H67" s="102">
        <f t="shared" si="64"/>
        <v>8348</v>
      </c>
      <c r="I67" s="102">
        <f t="shared" si="64"/>
        <v>9889</v>
      </c>
      <c r="J67" s="102">
        <f t="shared" ref="J67" si="65">I68</f>
        <v>8574</v>
      </c>
      <c r="K67" s="102">
        <f t="shared" ref="K67" si="66">J68</f>
        <v>10026.137844805893</v>
      </c>
      <c r="L67" s="102">
        <f t="shared" ref="L67" si="67">K68</f>
        <v>11941.380110982444</v>
      </c>
      <c r="M67" s="102">
        <f t="shared" ref="M67" si="68">L68</f>
        <v>15328.613454577451</v>
      </c>
      <c r="N67" s="102">
        <f t="shared" ref="N67" si="69">M68</f>
        <v>20357.185000816586</v>
      </c>
      <c r="O67" s="178"/>
      <c r="P67" s="166"/>
      <c r="Q67" s="102"/>
    </row>
    <row r="68" spans="1:18" ht="15.75" thickBot="1" x14ac:dyDescent="0.3">
      <c r="A68" s="105" t="s">
        <v>194</v>
      </c>
      <c r="B68" s="106">
        <f>B66+B67</f>
        <v>3852</v>
      </c>
      <c r="C68" s="106">
        <f t="shared" ref="C68:N68" si="70">C66+C67</f>
        <v>3138</v>
      </c>
      <c r="D68" s="106">
        <f t="shared" si="70"/>
        <v>3808</v>
      </c>
      <c r="E68" s="106">
        <f t="shared" si="70"/>
        <v>4249</v>
      </c>
      <c r="F68" s="106">
        <f t="shared" si="70"/>
        <v>4466</v>
      </c>
      <c r="G68" s="106">
        <f t="shared" si="70"/>
        <v>8348</v>
      </c>
      <c r="H68" s="106">
        <f t="shared" si="70"/>
        <v>9889</v>
      </c>
      <c r="I68" s="106">
        <f t="shared" si="70"/>
        <v>8574</v>
      </c>
      <c r="J68" s="106">
        <f t="shared" si="70"/>
        <v>10026.137844805893</v>
      </c>
      <c r="K68" s="106">
        <f t="shared" si="70"/>
        <v>11941.380110982444</v>
      </c>
      <c r="L68" s="106">
        <f t="shared" si="70"/>
        <v>15328.613454577451</v>
      </c>
      <c r="M68" s="106">
        <f t="shared" si="70"/>
        <v>20357.185000816586</v>
      </c>
      <c r="N68" s="106">
        <f t="shared" si="70"/>
        <v>26628.876387419092</v>
      </c>
      <c r="O68" s="176"/>
      <c r="P68" s="152"/>
      <c r="Q68" s="94"/>
    </row>
    <row r="69" spans="1:18" ht="15.75" thickTop="1" x14ac:dyDescent="0.25">
      <c r="A69" s="117" t="s">
        <v>195</v>
      </c>
      <c r="B69" s="116">
        <f>B21-B68</f>
        <v>0</v>
      </c>
      <c r="C69" s="116">
        <f t="shared" ref="C69:I69" si="71">C21-C68</f>
        <v>0</v>
      </c>
      <c r="D69" s="116">
        <f t="shared" si="71"/>
        <v>0</v>
      </c>
      <c r="E69" s="116">
        <f t="shared" si="71"/>
        <v>0</v>
      </c>
      <c r="F69" s="116">
        <f t="shared" si="71"/>
        <v>0</v>
      </c>
      <c r="G69" s="116">
        <f t="shared" si="71"/>
        <v>0</v>
      </c>
      <c r="H69" s="116">
        <f t="shared" si="71"/>
        <v>0</v>
      </c>
      <c r="I69" s="116">
        <f t="shared" si="71"/>
        <v>0</v>
      </c>
      <c r="J69" s="116"/>
      <c r="K69" s="116"/>
      <c r="L69" s="116"/>
      <c r="M69" s="116"/>
      <c r="N69" s="116"/>
      <c r="O69" s="180"/>
      <c r="P69" s="167"/>
      <c r="Q69" s="116"/>
    </row>
    <row r="70" spans="1:18" x14ac:dyDescent="0.25">
      <c r="B70" s="59"/>
      <c r="C70" s="59"/>
      <c r="D70" s="59"/>
      <c r="E70" s="59"/>
      <c r="F70" s="59"/>
      <c r="G70" s="59"/>
      <c r="H70" s="59"/>
      <c r="I70" s="59"/>
      <c r="J70" s="59"/>
      <c r="K70" s="59"/>
      <c r="L70" s="59"/>
      <c r="M70" s="59"/>
      <c r="N70" s="59"/>
      <c r="O70" s="148"/>
      <c r="P70" s="168"/>
      <c r="Q70" s="70"/>
      <c r="R70" t="s">
        <v>200</v>
      </c>
    </row>
    <row r="71" spans="1:18" x14ac:dyDescent="0.25">
      <c r="B71" s="59"/>
      <c r="C71" s="59"/>
      <c r="D71" s="59"/>
      <c r="E71" s="59"/>
      <c r="F71" s="59"/>
      <c r="G71" s="59"/>
      <c r="H71" s="59"/>
      <c r="I71" s="59"/>
    </row>
    <row r="73" spans="1:18" x14ac:dyDescent="0.25">
      <c r="A73" s="118">
        <v>2014</v>
      </c>
      <c r="B73" s="118"/>
    </row>
    <row r="74" spans="1:18" x14ac:dyDescent="0.25">
      <c r="A74" s="118" t="s">
        <v>35</v>
      </c>
      <c r="B74" s="119">
        <v>2922</v>
      </c>
    </row>
    <row r="75" spans="1:18" x14ac:dyDescent="0.25">
      <c r="A75" s="118" t="s">
        <v>197</v>
      </c>
      <c r="B75" s="119">
        <v>3434</v>
      </c>
    </row>
    <row r="76" spans="1:18" x14ac:dyDescent="0.25">
      <c r="A76" s="118" t="s">
        <v>198</v>
      </c>
      <c r="B76" s="119">
        <v>1930</v>
      </c>
    </row>
    <row r="77" spans="1:18" x14ac:dyDescent="0.25">
      <c r="A77" s="120" t="s">
        <v>159</v>
      </c>
      <c r="B77" s="121">
        <f>(+B74+B75)-B76</f>
        <v>4426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2023-10-27T09:15:02Z</dcterms:modified>
</cp:coreProperties>
</file>