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954CF940-8833-434D-B106-798076DF1006}" xr6:coauthVersionLast="47" xr6:coauthVersionMax="47" xr10:uidLastSave="{00000000-0000-0000-0000-000000000000}"/>
  <bookViews>
    <workbookView xWindow="-108" yWindow="-108" windowWidth="23256" windowHeight="13896"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4" l="1"/>
  <c r="J32" i="4"/>
  <c r="J26" i="4"/>
  <c r="J21" i="4"/>
  <c r="J205" i="3"/>
  <c r="K205" i="3"/>
  <c r="L205" i="3"/>
  <c r="M205" i="3"/>
  <c r="N205" i="3"/>
  <c r="K14" i="3"/>
  <c r="L14" i="3"/>
  <c r="M14" i="3"/>
  <c r="N14" i="3"/>
  <c r="J14" i="3"/>
  <c r="J39" i="4"/>
  <c r="K39" i="4" s="1"/>
  <c r="L39" i="4" s="1"/>
  <c r="M39" i="4" s="1"/>
  <c r="N39" i="4" s="1"/>
  <c r="M93" i="3"/>
  <c r="N93" i="3" s="1"/>
  <c r="L119" i="3"/>
  <c r="L115" i="3"/>
  <c r="M89" i="3"/>
  <c r="M85" i="3"/>
  <c r="M29" i="3"/>
  <c r="N29" i="3" s="1"/>
  <c r="M25" i="3"/>
  <c r="C143" i="3"/>
  <c r="D143" i="3"/>
  <c r="E143" i="3"/>
  <c r="F143" i="3"/>
  <c r="G143" i="3"/>
  <c r="H143" i="3"/>
  <c r="I143" i="3"/>
  <c r="I12" i="4"/>
  <c r="I15" i="4"/>
  <c r="I17" i="4" s="1"/>
  <c r="I16" i="4"/>
  <c r="J1" i="4"/>
  <c r="K1" i="4" s="1"/>
  <c r="L1" i="4" s="1"/>
  <c r="M1" i="4" s="1"/>
  <c r="N1" i="4" s="1"/>
  <c r="I19" i="4" l="1"/>
  <c r="J19" i="4" s="1"/>
  <c r="K19" i="4" s="1"/>
  <c r="L19" i="4" s="1"/>
  <c r="M19" i="4" s="1"/>
  <c r="N19" i="4" s="1"/>
  <c r="N85" i="3"/>
  <c r="N119" i="3" s="1"/>
  <c r="M119" i="3"/>
  <c r="N89" i="3"/>
  <c r="N115" i="3" s="1"/>
  <c r="M115" i="3"/>
  <c r="N25" i="3"/>
  <c r="C62" i="4"/>
  <c r="D62" i="4"/>
  <c r="E62" i="4"/>
  <c r="F62" i="4"/>
  <c r="G62" i="4"/>
  <c r="H62" i="4"/>
  <c r="I62" i="4"/>
  <c r="B62" i="4"/>
  <c r="C59" i="4"/>
  <c r="D59" i="4"/>
  <c r="E59" i="4"/>
  <c r="F59" i="4"/>
  <c r="G59" i="4"/>
  <c r="H59" i="4"/>
  <c r="I59" i="4"/>
  <c r="J59" i="4" s="1"/>
  <c r="B59" i="4"/>
  <c r="C57" i="4"/>
  <c r="D57" i="4"/>
  <c r="E57" i="4"/>
  <c r="F57" i="4"/>
  <c r="G57" i="4"/>
  <c r="H57" i="4"/>
  <c r="I57" i="4"/>
  <c r="B57" i="4"/>
  <c r="B77" i="4"/>
  <c r="K59" i="4" l="1"/>
  <c r="L59" i="4" s="1"/>
  <c r="M59" i="4" s="1"/>
  <c r="N59" i="4" s="1"/>
  <c r="J15" i="4"/>
  <c r="C25" i="4"/>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J36" i="4" s="1"/>
  <c r="K36" i="4" s="1"/>
  <c r="L36" i="4" s="1"/>
  <c r="M36" i="4" s="1"/>
  <c r="N36" i="4" s="1"/>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J33" i="4" s="1"/>
  <c r="K33" i="4" s="1"/>
  <c r="L33" i="4" s="1"/>
  <c r="M33" i="4" s="1"/>
  <c r="N33" i="4" s="1"/>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K15" i="4" l="1"/>
  <c r="L15" i="4" s="1"/>
  <c r="M15" i="4" s="1"/>
  <c r="N15" i="4" s="1"/>
  <c r="E32" i="4"/>
  <c r="C32" i="4"/>
  <c r="I51" i="4"/>
  <c r="G32" i="4"/>
  <c r="H51" i="4"/>
  <c r="F51" i="4"/>
  <c r="D51" i="4"/>
  <c r="D32" i="4"/>
  <c r="C51" i="4"/>
  <c r="I32" i="4"/>
  <c r="K32" i="4" s="1"/>
  <c r="L32" i="4" s="1"/>
  <c r="M32" i="4" s="1"/>
  <c r="N32" i="4" s="1"/>
  <c r="H32" i="4"/>
  <c r="G51" i="4"/>
  <c r="F32" i="4"/>
  <c r="E51" i="4"/>
  <c r="B43" i="4"/>
  <c r="B32" i="4"/>
  <c r="I43" i="4"/>
  <c r="H43" i="4"/>
  <c r="G43" i="4"/>
  <c r="F43" i="4"/>
  <c r="E43" i="4"/>
  <c r="D43" i="4"/>
  <c r="C43" i="4"/>
  <c r="C60" i="4"/>
  <c r="J60" i="4" s="1"/>
  <c r="B64" i="4"/>
  <c r="I64" i="4"/>
  <c r="H64" i="4"/>
  <c r="G64" i="4"/>
  <c r="F64" i="4"/>
  <c r="E64" i="4"/>
  <c r="D64" i="4"/>
  <c r="C64" i="4"/>
  <c r="B25" i="4"/>
  <c r="C21" i="4"/>
  <c r="D21" i="4"/>
  <c r="E21" i="4"/>
  <c r="F21" i="4"/>
  <c r="G21" i="4"/>
  <c r="H21" i="4"/>
  <c r="I21" i="4"/>
  <c r="K21" i="4" s="1"/>
  <c r="L21" i="4" s="1"/>
  <c r="M21" i="4" s="1"/>
  <c r="N21" i="4" s="1"/>
  <c r="B21" i="4"/>
  <c r="C16" i="4"/>
  <c r="D16" i="4"/>
  <c r="E16" i="4"/>
  <c r="F16" i="4"/>
  <c r="G16" i="4"/>
  <c r="H16" i="4"/>
  <c r="B16" i="4"/>
  <c r="K60" i="4" l="1"/>
  <c r="B31" i="4"/>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L60" i="4" l="1"/>
  <c r="M60" i="4" s="1"/>
  <c r="B17" i="4"/>
  <c r="H19" i="4"/>
  <c r="I18" i="4"/>
  <c r="F17" i="4"/>
  <c r="E17" i="4"/>
  <c r="D17" i="4"/>
  <c r="C17" i="4"/>
  <c r="C18" i="4" s="1"/>
  <c r="H18" i="4"/>
  <c r="B18" i="4"/>
  <c r="H1" i="4"/>
  <c r="G1" i="4" s="1"/>
  <c r="F1" i="4" s="1"/>
  <c r="E1" i="4" s="1"/>
  <c r="D1" i="4" s="1"/>
  <c r="C1" i="4" s="1"/>
  <c r="B1" i="4" s="1"/>
  <c r="N60" i="4" l="1"/>
  <c r="D18" i="4"/>
  <c r="E18" i="4"/>
  <c r="F18" i="4"/>
  <c r="G18" i="4"/>
  <c r="C19" i="4"/>
  <c r="D19" i="4"/>
  <c r="E19" i="4"/>
  <c r="F19" i="4"/>
  <c r="B19" i="4"/>
  <c r="B159" i="3"/>
  <c r="C188" i="3"/>
  <c r="D188" i="3"/>
  <c r="E188" i="3"/>
  <c r="E189" i="3" s="1"/>
  <c r="F188" i="3"/>
  <c r="F189" i="3" s="1"/>
  <c r="G188" i="3"/>
  <c r="G189" i="3" s="1"/>
  <c r="H188" i="3"/>
  <c r="H189" i="3" s="1"/>
  <c r="I188" i="3"/>
  <c r="B188" i="3"/>
  <c r="B189" i="3" s="1"/>
  <c r="D189" i="3" l="1"/>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C48" i="3" l="1"/>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J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24" i="4" l="1"/>
  <c r="L24" i="4" s="1"/>
  <c r="K199" i="3"/>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M24" i="4" l="1"/>
  <c r="L203" i="3"/>
  <c r="M200" i="3"/>
  <c r="N200" i="3" s="1"/>
  <c r="L199" i="3"/>
  <c r="M199" i="3" s="1"/>
  <c r="N199" i="3" s="1"/>
  <c r="L196" i="3"/>
  <c r="K202" i="3"/>
  <c r="G96" i="1"/>
  <c r="G98" i="1" s="1"/>
  <c r="G99" i="1" s="1"/>
  <c r="B4" i="3"/>
  <c r="B4" i="4" s="1"/>
  <c r="N24" i="4" l="1"/>
  <c r="M203" i="3"/>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s="1"/>
  <c r="C66" i="4"/>
  <c r="D66" i="4"/>
  <c r="E66" i="4"/>
  <c r="F66" i="4"/>
  <c r="G66" i="4"/>
  <c r="I66" i="4"/>
  <c r="H66" i="4"/>
  <c r="C67" i="4" l="1"/>
  <c r="C68" i="4" s="1"/>
  <c r="B69" i="4"/>
  <c r="C69" i="4" l="1"/>
  <c r="D67" i="4"/>
  <c r="D68" i="4" s="1"/>
  <c r="D69" i="4" s="1"/>
  <c r="E67" i="4"/>
  <c r="E68" i="4" s="1"/>
  <c r="E69" i="4" s="1"/>
  <c r="F67" i="4" l="1"/>
  <c r="F68" i="4" s="1"/>
  <c r="F69" i="4" s="1"/>
  <c r="G67" i="4" l="1"/>
  <c r="G68" i="4" s="1"/>
  <c r="G69" i="4" s="1"/>
  <c r="H67" i="4" l="1"/>
  <c r="H68" i="4" s="1"/>
  <c r="H69" i="4" s="1"/>
  <c r="I67" i="4" l="1"/>
  <c r="I68" i="4" s="1"/>
  <c r="I69" i="4" s="1"/>
  <c r="J67" i="4" l="1"/>
  <c r="J50" i="4" s="1"/>
  <c r="J10" i="4" s="1"/>
  <c r="J37" i="3"/>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23" i="4" s="1"/>
  <c r="K78" i="3"/>
  <c r="K75" i="3"/>
  <c r="K69" i="3"/>
  <c r="J71" i="3"/>
  <c r="J72" i="3" s="1"/>
  <c r="J66" i="3"/>
  <c r="J4" i="3"/>
  <c r="J3" i="4"/>
  <c r="J23" i="4" s="1"/>
  <c r="J75" i="3"/>
  <c r="J78" i="3"/>
  <c r="J69" i="3"/>
  <c r="J4" i="4" l="1"/>
  <c r="J51" i="4"/>
  <c r="K4" i="4"/>
  <c r="K72" i="3"/>
  <c r="M68" i="3"/>
  <c r="M74" i="3"/>
  <c r="M77" i="3"/>
  <c r="M3" i="3"/>
  <c r="M65" i="3"/>
  <c r="M5" i="3" s="1"/>
  <c r="M52" i="3"/>
  <c r="N74" i="3"/>
  <c r="N77" i="3"/>
  <c r="N3" i="3"/>
  <c r="N65" i="3"/>
  <c r="N5" i="3" s="1"/>
  <c r="N68" i="3"/>
  <c r="N52" i="3"/>
  <c r="L71" i="3"/>
  <c r="L72" i="3" s="1"/>
  <c r="L66" i="3"/>
  <c r="L4" i="3"/>
  <c r="L3" i="4"/>
  <c r="L78" i="3"/>
  <c r="L75" i="3"/>
  <c r="L69" i="3"/>
  <c r="L4" i="4" l="1"/>
  <c r="L23" i="4"/>
  <c r="N69" i="3"/>
  <c r="N71" i="3"/>
  <c r="N66" i="3"/>
  <c r="N4" i="3"/>
  <c r="N3" i="4"/>
  <c r="N23" i="4" s="1"/>
  <c r="N78" i="3"/>
  <c r="N75" i="3"/>
  <c r="M71" i="3"/>
  <c r="M72" i="3" s="1"/>
  <c r="M66" i="3"/>
  <c r="M4" i="3"/>
  <c r="M3" i="4"/>
  <c r="M78" i="3"/>
  <c r="M75" i="3"/>
  <c r="M69" i="3"/>
  <c r="M4" i="4" l="1"/>
  <c r="M23" i="4"/>
  <c r="N4" i="4"/>
  <c r="N72" i="3"/>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13" i="3"/>
  <c r="J12" i="4" l="1"/>
  <c r="K7" i="3"/>
  <c r="K6" i="3"/>
  <c r="L7" i="3"/>
  <c r="L6" i="3"/>
  <c r="M7" i="3"/>
  <c r="M6" i="3"/>
  <c r="N7" i="3"/>
  <c r="N6" i="3"/>
  <c r="K11" i="3"/>
  <c r="K46" i="4"/>
  <c r="L11" i="3"/>
  <c r="L46" i="4"/>
  <c r="M11" i="3"/>
  <c r="M46" i="4"/>
  <c r="N11" i="3"/>
  <c r="N46" i="4"/>
  <c r="N5" i="4"/>
  <c r="N9" i="4" s="1"/>
  <c r="M5" i="4"/>
  <c r="M9" i="4" s="1"/>
  <c r="L5" i="4"/>
  <c r="L9" i="4" s="1"/>
  <c r="K5" i="4"/>
  <c r="K9" i="4" s="1"/>
  <c r="K7" i="4"/>
  <c r="K8" i="4" s="1"/>
  <c r="J14" i="4" l="1"/>
  <c r="J48" i="4"/>
  <c r="J49" i="4" s="1"/>
  <c r="L7" i="4"/>
  <c r="N7" i="4"/>
  <c r="M7" i="4"/>
  <c r="J16" i="4"/>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K51" i="4"/>
  <c r="J31" i="4"/>
  <c r="L51" i="4" l="1"/>
  <c r="M51" i="4" l="1"/>
  <c r="N51" i="4" l="1"/>
  <c r="N207" i="3" l="1"/>
  <c r="K207" i="3"/>
  <c r="L207" i="3"/>
  <c r="M207" i="3"/>
  <c r="J207" i="3"/>
  <c r="M16" i="3"/>
  <c r="L16" i="3"/>
  <c r="K16" i="3"/>
  <c r="J15" i="3"/>
  <c r="J52" i="4" l="1"/>
  <c r="K26" i="4" s="1"/>
  <c r="J16" i="3"/>
  <c r="K52" i="4"/>
  <c r="K15" i="3"/>
  <c r="L52" i="4"/>
  <c r="L15" i="3"/>
  <c r="M52" i="4"/>
  <c r="N15" i="3"/>
  <c r="M15" i="3"/>
  <c r="N52" i="4"/>
  <c r="N16" i="3"/>
  <c r="L26" i="4" l="1"/>
  <c r="K31" i="4"/>
  <c r="N58" i="4"/>
  <c r="M58" i="4"/>
  <c r="L58" i="4"/>
  <c r="K58" i="4"/>
  <c r="J58" i="4"/>
  <c r="J53" i="4"/>
  <c r="M26" i="4" l="1"/>
  <c r="L31" i="4"/>
  <c r="J17" i="4"/>
  <c r="J61" i="4" l="1"/>
  <c r="J18" i="4"/>
  <c r="N26" i="4"/>
  <c r="N31" i="4" s="1"/>
  <c r="M31" i="4"/>
  <c r="J43" i="4" l="1"/>
  <c r="J44" i="4" s="1"/>
  <c r="J64" i="4"/>
  <c r="J66" i="4" s="1"/>
  <c r="J68" i="4" s="1"/>
  <c r="K67" i="4" s="1"/>
  <c r="K50" i="4" s="1"/>
  <c r="K10" i="4" s="1"/>
  <c r="K11" i="4" s="1"/>
  <c r="K12" i="4" l="1"/>
  <c r="K48" i="4" s="1"/>
  <c r="K49" i="4" s="1"/>
  <c r="K55" i="4" l="1"/>
  <c r="K53" i="4" s="1"/>
  <c r="K14" i="4"/>
  <c r="K16" i="4" l="1"/>
  <c r="K17" i="4" s="1"/>
  <c r="K61" i="4" l="1"/>
  <c r="K18" i="4"/>
  <c r="K64" i="4" l="1"/>
  <c r="K66" i="4" s="1"/>
  <c r="K68" i="4" s="1"/>
  <c r="L67" i="4" s="1"/>
  <c r="L50" i="4" s="1"/>
  <c r="L10" i="4" s="1"/>
  <c r="L11" i="4" s="1"/>
  <c r="K41" i="4"/>
  <c r="K43" i="4" l="1"/>
  <c r="K44" i="4" s="1"/>
  <c r="L12" i="4"/>
  <c r="L48" i="4" s="1"/>
  <c r="L49" i="4" s="1"/>
  <c r="L14" i="4"/>
  <c r="L16" i="4" s="1"/>
  <c r="L17" i="4" s="1"/>
  <c r="L61" i="4" l="1"/>
  <c r="L64" i="4" s="1"/>
  <c r="L18" i="4"/>
  <c r="L41" i="4"/>
  <c r="L55" i="4"/>
  <c r="L66" i="4" s="1"/>
  <c r="L68" i="4" s="1"/>
  <c r="M67" i="4" s="1"/>
  <c r="M50" i="4" s="1"/>
  <c r="M10" i="4" s="1"/>
  <c r="M11" i="4" s="1"/>
  <c r="L53" i="4"/>
  <c r="M12" i="4" l="1"/>
  <c r="M48" i="4" s="1"/>
  <c r="M49" i="4" s="1"/>
  <c r="M14" i="4"/>
  <c r="M16" i="4" s="1"/>
  <c r="M17" i="4" s="1"/>
  <c r="L43" i="4"/>
  <c r="L44" i="4" s="1"/>
  <c r="M61" i="4" l="1"/>
  <c r="M18" i="4"/>
  <c r="M55" i="4"/>
  <c r="M53" i="4"/>
  <c r="M64" i="4" l="1"/>
  <c r="M66" i="4" s="1"/>
  <c r="M68" i="4" s="1"/>
  <c r="N67" i="4" s="1"/>
  <c r="N50" i="4" s="1"/>
  <c r="N10" i="4" s="1"/>
  <c r="N11" i="4" s="1"/>
  <c r="M41" i="4"/>
  <c r="N12" i="4" l="1"/>
  <c r="N48" i="4" s="1"/>
  <c r="N49" i="4" s="1"/>
  <c r="N14" i="4"/>
  <c r="N16" i="4" s="1"/>
  <c r="N17" i="4" s="1"/>
  <c r="M43" i="4"/>
  <c r="M44" i="4" s="1"/>
  <c r="N18" i="4" l="1"/>
  <c r="N61" i="4"/>
  <c r="N55" i="4"/>
  <c r="N53" i="4"/>
  <c r="N64" i="4" l="1"/>
  <c r="N66" i="4" s="1"/>
  <c r="N68" i="4" s="1"/>
  <c r="N41"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<sst xmlns="http://schemas.openxmlformats.org/spreadsheetml/2006/main" count="583" uniqueCount="249">
  <si>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</si>
  <si>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</si>
  <si>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</si>
  <si>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</si>
  <si>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</si>
  <si>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</si>
  <si>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</si>
  <si>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</si>
  <si>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</si>
  <si>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</si>
  <si>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</si>
  <si>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</si>
  <si>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</si>
  <si>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</si>
  <si>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</si>
  <si>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</si>
  <si>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</si>
  <si>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</si>
  <si>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</si>
  <si>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</si>
  <si>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</si>
  <si>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</si>
  <si>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</si>
  <si>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</si>
  <si>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</si>
  <si>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</si>
  <si>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</si>
  <si>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</si>
  <si>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</si>
  <si>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</si>
  <si>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</si>
  <si>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</si>
  <si>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</si>
  <si>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</si>
  <si>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</si>
  <si>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</si>
  <si>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</si>
  <si>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</si>
  <si>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</si>
  <si>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</si>
  <si>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</si>
  <si>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</si>
  <si>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</si>
  <si>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</si>
  <si>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</si>
  <si>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</si>
  <si>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</si>
  <si>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</si>
  <si>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</si>
  <si>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</si>
  <si>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</si>
  <si>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</si>
  <si>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</si>
  <si>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</si>
  <si>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</si>
  <si>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</si>
  <si>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</si>
  <si>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</si>
  <si>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</si>
  <si>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</si>
  <si>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</si>
  <si>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</si>
  <si>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</si>
  <si>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</si>
  <si>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</si>
  <si>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</si>
  <si>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</si>
  <si>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</si>
  <si>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</si>
  <si>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</si>
  <si>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</si>
  <si>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</si>
  <si>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</si>
  <si>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</si>
  <si>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</si>
  <si>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</si>
  <si>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</si>
  <si>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</si>
  <si>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</si>
  <si>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</si>
  <si>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</si>
  <si>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</si>
  <si>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</si>
  <si>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</si>
  <si>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</si>
  <si>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</si>
  <si>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</si>
  <si>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</si>
  <si>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</si>
  <si>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</si>
  <si>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</si>
  <si>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</si>
  <si>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</si>
  <si>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</si>
  <si>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</si>
  <si>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</si>
  <si>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</si>
  <si>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</si>
  <si>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</si>
  <si>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</si>
  <si>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</si>
  <si>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</si>
  <si>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</si>
  <si>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</si>
  <si>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</si>
  <si>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</si>
  <si>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</si>
  <si>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</si>
  <si>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</si>
  <si>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</si>
  <si>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</si>
  <si>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</si>
  <si>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</si>
  <si>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</si>
  <si>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</si>
  <si>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</si>
  <si>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</si>
  <si>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</si>
  <si>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</si>
  <si>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</si>
  <si>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</si>
  <si>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</si>
  <si>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</si>
  <si>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</si>
  <si>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</si>
  <si>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</si>
  <si>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</si>
  <si>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</si>
  <si>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</si>
  <si>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</si>
  <si>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</si>
  <si>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</si>
  <si>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</si>
  <si>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</si>
  <si>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</si>
  <si>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</si>
  <si>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</si>
  <si>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</si>
  <si>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</si>
  <si>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</si>
  <si>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</si>
  <si>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</si>
  <si>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</si>
  <si>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</si>
  <si>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</si>
  <si>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</si>
  <si>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</si>
  <si>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</si>
  <si>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</si>
  <si>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</si>
  <si>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</si>
  <si>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</si>
  <si>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</si>
  <si>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</si>
  <si>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</si>
  <si>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</si>
  <si>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</si>
  <si>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</si>
  <si>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</si>
  <si>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</si>
  <si>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</si>
  <si>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</si>
  <si>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</si>
  <si>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</si>
  <si>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</si>
  <si>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</si>
  <si>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</si>
  <si>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</si>
  <si>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</si>
  <si>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</si>
  <si>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</si>
  <si>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</si>
  <si>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</si>
  <si>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</si>
  <si>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</si>
  <si>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</si>
  <si>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</si>
  <si>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</si>
  <si>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</si>
  <si>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</si>
  <si>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</si>
  <si>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</si>
  <si>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</si>
  <si>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</si>
  <si>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</si>
  <si>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</si>
  <si>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</si>
  <si>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</si>
  <si>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</si>
  <si>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</si>
  <si>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</si>
  <si>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</si>
  <si>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</si>
  <si>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</si>
  <si>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</si>
  <si>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</si>
  <si>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</si>
  <si>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</si>
  <si>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</si>
  <si>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</si>
  <si>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</si>
  <si>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</si>
  <si>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</si>
  <si>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</si>
  <si>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</si>
  <si>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</si>
  <si>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</si>
  <si>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</si>
  <si>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</si>
  <si>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</si>
  <si>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</si>
  <si>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</si>
  <si>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</si>
  <si>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</si>
  <si>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</si>
  <si>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</si>
  <si>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</si>
  <si>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</si>
  <si>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</si>
  <si>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</si>
  <si>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</si>
  <si>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</si>
  <si>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</si>
  <si>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</si>
  <si>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</si>
  <si>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</si>
  <si>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</si>
  <si>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</si>
  <si>
    <t>Feedback</t>
  </si>
  <si>
    <t>Forecast this based on historical trend</t>
  </si>
  <si>
    <t>EPS*Pay out ratio</t>
  </si>
  <si>
    <t>WC as a % of revenue * Revenue</t>
  </si>
  <si>
    <t>Keep this equal to 2022</t>
  </si>
  <si>
    <t>Opening debt - repayment (in cash flow)</t>
  </si>
  <si>
    <t>Opening retained earnings + Net income - Dividends paid</t>
  </si>
  <si>
    <t>2022 PPE + Capex - D&amp;A (follow the same for the other period)</t>
  </si>
  <si>
    <t>Note that dividends paid is already negative in cash flow, when you link it with - sign, it become positive. Change the sign to +</t>
  </si>
  <si>
    <t>Increase the pay out ratio  to reflect 11% DPS growth every year</t>
  </si>
  <si>
    <t>Calculate the DPS growth like how you have done in 2022</t>
  </si>
  <si>
    <t>Link it to tax in income statement</t>
  </si>
  <si>
    <t>Keep this blank</t>
  </si>
  <si>
    <t>Forecast this number based on Historical trend</t>
  </si>
  <si>
    <t>Current year DPS * current year share count</t>
  </si>
  <si>
    <t>Opening share count -(forecasted buy back value in cash flow/Average share price of Nike year to date) find average share price in yahoo finance</t>
  </si>
  <si>
    <t>Note that DPS has been growing by more then 10% every year, and has cross then $1 mark and is heading towards $1.30, $1.5 marks in future, your forecasts should reflect that trend. When your EPS is growing in a healthy number, your DPS also should be growing, not declining</t>
  </si>
  <si>
    <t xml:space="preserve">Add share buy back to this </t>
  </si>
  <si>
    <t xml:space="preserve">Add the below two rows </t>
  </si>
  <si>
    <t xml:space="preserve">Capex is linked to prior year number, change that to current year and change the sign before Capex to -, so that it get added to PPE (since it’s a negative figure in cash flow) </t>
  </si>
  <si>
    <t>Forecast cash should be linked to the cash flow ending cash balance (row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</si>
</sst>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_(* \(#,##0\);_(* &quot;-&quot;??_);_(@_)"/>
    <numFmt numFmtId="167"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b/>
      <sz val="14"/>
      <color rgb="FFFFFFFF"/>
      <name val="Calibri"/>
      <family val="2"/>
    </font>
    <font>
      <b/>
      <sz val="11"/>
      <color theme="1"/>
      <name val="Calibri"/>
      <family val="2"/>
    </font>
    <font>
      <b/>
      <sz val="11"/>
      <name val="Calibri"/>
      <family val="2"/>
    </font>
    <font>
      <sz val="11"/>
      <name val="Calibri"/>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88">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0" fontId="14" fillId="0" borderId="0" xfId="0" applyFont="1" applyAlignment="1">
      <alignment horizontal="left" indent="1"/>
    </xf>
    <xf numFmtId="166" fontId="14" fillId="0" borderId="0" xfId="1" applyNumberFormat="1" applyFont="1"/>
    <xf numFmtId="166"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7" fontId="17" fillId="0" borderId="0" xfId="2" applyNumberFormat="1" applyFont="1"/>
    <xf numFmtId="0" fontId="17" fillId="0" borderId="0" xfId="0" applyFont="1" applyAlignment="1">
      <alignment horizontal="left" indent="2"/>
    </xf>
    <xf numFmtId="167" fontId="0" fillId="0" borderId="2" xfId="2" applyNumberFormat="1" applyFont="1" applyBorder="1"/>
    <xf numFmtId="167" fontId="18" fillId="0" borderId="1" xfId="2" applyNumberFormat="1" applyFont="1" applyBorder="1"/>
    <xf numFmtId="167" fontId="2" fillId="0" borderId="2" xfId="2" applyNumberFormat="1" applyFont="1" applyBorder="1"/>
    <xf numFmtId="3" fontId="2" fillId="0" borderId="0" xfId="0" applyNumberFormat="1" applyFont="1"/>
    <xf numFmtId="167" fontId="0" fillId="0" borderId="0" xfId="2" applyNumberFormat="1" applyFont="1"/>
    <xf numFmtId="167" fontId="19" fillId="0" borderId="0" xfId="2" applyNumberFormat="1" applyFont="1" applyAlignment="1">
      <alignment horizontal="right"/>
    </xf>
    <xf numFmtId="167" fontId="0" fillId="0" borderId="0" xfId="2" applyNumberFormat="1" applyFont="1" applyAlignment="1">
      <alignment horizontal="right"/>
    </xf>
    <xf numFmtId="167" fontId="20" fillId="0" borderId="0" xfId="2" applyNumberFormat="1" applyFont="1" applyAlignment="1">
      <alignment horizontal="right"/>
    </xf>
    <xf numFmtId="3" fontId="21" fillId="0" borderId="0" xfId="0" applyNumberFormat="1" applyFont="1"/>
    <xf numFmtId="37" fontId="2" fillId="0" borderId="0" xfId="0" applyNumberFormat="1" applyFont="1"/>
    <xf numFmtId="166" fontId="11" fillId="0" borderId="0" xfId="1" applyNumberFormat="1" applyFont="1" applyAlignment="1">
      <alignment horizontal="left" indent="1"/>
    </xf>
    <xf numFmtId="166"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7" fontId="15" fillId="0" borderId="0" xfId="2" applyNumberFormat="1" applyFont="1"/>
    <xf numFmtId="167" fontId="23" fillId="0" borderId="0" xfId="2" applyNumberFormat="1" applyFont="1" applyAlignment="1">
      <alignment horizontal="right"/>
    </xf>
    <xf numFmtId="166" fontId="22" fillId="0" borderId="0" xfId="0" applyNumberFormat="1" applyFont="1"/>
    <xf numFmtId="0" fontId="22" fillId="6" borderId="0" xfId="0" applyFont="1" applyFill="1"/>
    <xf numFmtId="167" fontId="15" fillId="0" borderId="0" xfId="0" applyNumberFormat="1" applyFont="1"/>
    <xf numFmtId="167" fontId="15" fillId="0" borderId="0" xfId="2" applyNumberFormat="1" applyFont="1" applyAlignment="1">
      <alignment horizontal="right"/>
    </xf>
    <xf numFmtId="37" fontId="22" fillId="0" borderId="0" xfId="0" applyNumberFormat="1" applyFont="1"/>
    <xf numFmtId="166" fontId="0" fillId="0" borderId="0" xfId="0" applyNumberFormat="1"/>
    <xf numFmtId="164" fontId="0" fillId="0" borderId="0" xfId="0" applyNumberFormat="1"/>
    <xf numFmtId="164" fontId="2" fillId="0" borderId="0" xfId="0" applyNumberFormat="1" applyFont="1"/>
    <xf numFmtId="166" fontId="24" fillId="0" borderId="0" xfId="0" applyNumberFormat="1" applyFont="1"/>
    <xf numFmtId="164" fontId="5" fillId="0" borderId="0" xfId="0" applyNumberFormat="1" applyFont="1"/>
    <xf numFmtId="167" fontId="20" fillId="7" borderId="0" xfId="2" applyNumberFormat="1" applyFont="1" applyFill="1" applyAlignment="1">
      <alignment horizontal="right"/>
    </xf>
    <xf numFmtId="167" fontId="23" fillId="7" borderId="0" xfId="2" applyNumberFormat="1" applyFont="1" applyFill="1" applyAlignment="1">
      <alignment horizontal="right"/>
    </xf>
    <xf numFmtId="167" fontId="15" fillId="7" borderId="0" xfId="2" applyNumberFormat="1" applyFont="1" applyFill="1"/>
    <xf numFmtId="167" fontId="15" fillId="7" borderId="0" xfId="0" applyNumberFormat="1" applyFont="1" applyFill="1"/>
    <xf numFmtId="167" fontId="15" fillId="7" borderId="0" xfId="2" applyNumberFormat="1" applyFont="1" applyFill="1" applyAlignment="1">
      <alignment horizontal="right"/>
    </xf>
    <xf numFmtId="167" fontId="0" fillId="7" borderId="0" xfId="2" applyNumberFormat="1" applyFont="1" applyFill="1"/>
    <xf numFmtId="167"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6" fontId="28" fillId="9" borderId="0" xfId="4" applyNumberFormat="1" applyFont="1" applyFill="1" applyBorder="1" applyAlignment="1">
      <alignment horizontal="left"/>
    </xf>
    <xf numFmtId="0" fontId="29" fillId="0" borderId="0" xfId="0" applyFont="1"/>
    <xf numFmtId="166" fontId="29" fillId="0" borderId="0" xfId="1" applyNumberFormat="1" applyFont="1" applyFill="1" applyBorder="1"/>
    <xf numFmtId="166" fontId="31" fillId="0" borderId="0" xfId="1" applyNumberFormat="1" applyFont="1" applyFill="1" applyBorder="1" applyAlignment="1">
      <alignment horizontal="left" indent="1"/>
    </xf>
    <xf numFmtId="167" fontId="31" fillId="0" borderId="0" xfId="2" applyNumberFormat="1" applyFont="1" applyFill="1" applyBorder="1" applyAlignment="1">
      <alignment horizontal="right"/>
    </xf>
    <xf numFmtId="166" fontId="30" fillId="0" borderId="0" xfId="1" applyNumberFormat="1" applyFont="1" applyFill="1" applyBorder="1" applyAlignment="1">
      <alignment horizontal="left"/>
    </xf>
    <xf numFmtId="166" fontId="30" fillId="0" borderId="0" xfId="1" applyNumberFormat="1" applyFont="1" applyFill="1" applyBorder="1"/>
    <xf numFmtId="0" fontId="29" fillId="0" borderId="1" xfId="0" applyFont="1" applyBorder="1"/>
    <xf numFmtId="166" fontId="29" fillId="0" borderId="1" xfId="1" applyNumberFormat="1" applyFont="1" applyFill="1" applyBorder="1"/>
    <xf numFmtId="0" fontId="32" fillId="0" borderId="0" xfId="0" applyFont="1" applyAlignment="1">
      <alignment horizontal="left" indent="1"/>
    </xf>
    <xf numFmtId="166" fontId="32" fillId="0" borderId="0" xfId="1" applyNumberFormat="1" applyFont="1" applyFill="1" applyBorder="1"/>
    <xf numFmtId="0" fontId="32" fillId="0" borderId="0" xfId="0" applyFont="1"/>
    <xf numFmtId="166" fontId="31" fillId="0" borderId="0" xfId="1" applyNumberFormat="1" applyFont="1" applyFill="1" applyBorder="1" applyAlignment="1">
      <alignment horizontal="left"/>
    </xf>
    <xf numFmtId="0" fontId="29" fillId="0" borderId="2" xfId="0" applyFont="1" applyBorder="1"/>
    <xf numFmtId="166" fontId="29" fillId="0" borderId="2" xfId="1" applyNumberFormat="1" applyFont="1" applyFill="1" applyBorder="1"/>
    <xf numFmtId="165" fontId="32" fillId="0" borderId="0" xfId="1" applyFont="1" applyFill="1" applyBorder="1"/>
    <xf numFmtId="0" fontId="28" fillId="9" borderId="0" xfId="4" applyFont="1" applyFill="1" applyBorder="1"/>
    <xf numFmtId="0" fontId="32" fillId="0" borderId="0" xfId="0" applyFont="1" applyAlignment="1">
      <alignment horizontal="left"/>
    </xf>
    <xf numFmtId="165" fontId="33" fillId="0" borderId="0" xfId="1" applyFont="1" applyFill="1" applyBorder="1"/>
    <xf numFmtId="166" fontId="32" fillId="0" borderId="0" xfId="0" applyNumberFormat="1" applyFont="1"/>
    <xf numFmtId="0" fontId="29" fillId="0" borderId="4" xfId="0" applyFont="1" applyBorder="1"/>
    <xf numFmtId="166" fontId="29" fillId="0" borderId="4" xfId="1" applyNumberFormat="1" applyFont="1" applyFill="1" applyBorder="1"/>
    <xf numFmtId="167" fontId="34" fillId="0" borderId="0" xfId="2" applyNumberFormat="1" applyFont="1" applyFill="1" applyBorder="1" applyAlignment="1">
      <alignment horizontal="right"/>
    </xf>
    <xf numFmtId="167" fontId="34" fillId="0" borderId="0" xfId="2" applyNumberFormat="1" applyFont="1" applyFill="1" applyBorder="1"/>
    <xf numFmtId="166"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6"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164" fontId="22" fillId="0" borderId="0" xfId="0" applyNumberFormat="1" applyFont="1"/>
    <xf numFmtId="164"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164" fontId="29" fillId="0" borderId="0" xfId="1" applyNumberFormat="1" applyFont="1" applyFill="1" applyBorder="1"/>
    <xf numFmtId="167" fontId="22" fillId="0" borderId="0" xfId="2" applyNumberFormat="1" applyFont="1"/>
    <xf numFmtId="3" fontId="24" fillId="0" borderId="0" xfId="0" applyNumberFormat="1" applyFont="1"/>
    <xf numFmtId="167" fontId="0" fillId="0" borderId="0" xfId="0" applyNumberFormat="1"/>
    <xf numFmtId="9" fontId="0" fillId="0" borderId="0" xfId="2" applyFont="1"/>
    <xf numFmtId="167" fontId="30" fillId="0" borderId="0" xfId="2" applyNumberFormat="1" applyFont="1" applyFill="1" applyBorder="1" applyAlignment="1">
      <alignment horizontal="right"/>
    </xf>
    <xf numFmtId="164" fontId="15" fillId="0" borderId="0" xfId="0" applyNumberFormat="1" applyFont="1"/>
    <xf numFmtId="164" fontId="24" fillId="0" borderId="0" xfId="0" applyNumberFormat="1" applyFont="1"/>
    <xf numFmtId="3" fontId="22" fillId="0" borderId="0" xfId="0" applyNumberFormat="1" applyFont="1" applyAlignment="1">
      <alignment horizontal="left"/>
    </xf>
    <xf numFmtId="167" fontId="15" fillId="0" borderId="0" xfId="2" applyNumberFormat="1" applyFont="1" applyFill="1" applyAlignment="1">
      <alignment horizontal="left"/>
    </xf>
    <xf numFmtId="1" fontId="23" fillId="0" borderId="0" xfId="2" applyNumberFormat="1" applyFont="1" applyFill="1" applyAlignment="1">
      <alignment horizontal="left"/>
    </xf>
    <xf numFmtId="3" fontId="15" fillId="0" borderId="0" xfId="2" applyNumberFormat="1" applyFont="1" applyFill="1" applyAlignment="1">
      <alignment horizontal="left"/>
    </xf>
    <xf numFmtId="167" fontId="23" fillId="0" borderId="0" xfId="2" applyNumberFormat="1" applyFont="1" applyFill="1" applyAlignment="1">
      <alignment horizontal="left"/>
    </xf>
    <xf numFmtId="166" fontId="29" fillId="0" borderId="0" xfId="1" applyNumberFormat="1" applyFont="1" applyFill="1" applyBorder="1" applyAlignment="1">
      <alignment horizontal="left"/>
    </xf>
    <xf numFmtId="3" fontId="23" fillId="0" borderId="0" xfId="2" applyNumberFormat="1" applyFont="1" applyFill="1" applyAlignment="1">
      <alignment horizontal="left"/>
    </xf>
    <xf numFmtId="4" fontId="23" fillId="0" borderId="0" xfId="2" applyNumberFormat="1" applyFont="1" applyFill="1" applyAlignment="1">
      <alignment horizontal="left"/>
    </xf>
    <xf numFmtId="167" fontId="19" fillId="0" borderId="0" xfId="2" applyNumberFormat="1" applyFont="1" applyFill="1" applyAlignment="1">
      <alignment horizontal="left"/>
    </xf>
    <xf numFmtId="167" fontId="31" fillId="0" borderId="0" xfId="2" applyNumberFormat="1" applyFont="1" applyFill="1" applyBorder="1" applyAlignment="1">
      <alignment horizontal="left"/>
    </xf>
    <xf numFmtId="3" fontId="15" fillId="0" borderId="0" xfId="0" applyNumberFormat="1" applyFont="1" applyAlignment="1">
      <alignment horizontal="left"/>
    </xf>
    <xf numFmtId="3" fontId="24" fillId="0" borderId="0" xfId="0" applyNumberFormat="1" applyFont="1" applyAlignment="1">
      <alignment horizontal="left"/>
    </xf>
    <xf numFmtId="165" fontId="33" fillId="0" borderId="0" xfId="1" applyFont="1" applyFill="1" applyBorder="1" applyAlignment="1">
      <alignment horizontal="left"/>
    </xf>
    <xf numFmtId="3" fontId="20" fillId="0" borderId="0" xfId="2" applyNumberFormat="1" applyFont="1" applyFill="1" applyAlignment="1">
      <alignment horizontal="left"/>
    </xf>
    <xf numFmtId="166" fontId="19" fillId="0" borderId="0" xfId="2" applyNumberFormat="1" applyFont="1" applyFill="1" applyAlignment="1">
      <alignment horizontal="left"/>
    </xf>
    <xf numFmtId="37" fontId="23" fillId="0" borderId="0" xfId="2" applyNumberFormat="1" applyFont="1" applyFill="1" applyAlignment="1">
      <alignment horizontal="left"/>
    </xf>
    <xf numFmtId="164" fontId="24" fillId="0" borderId="0" xfId="0" applyNumberFormat="1" applyFont="1" applyAlignment="1">
      <alignment horizontal="left"/>
    </xf>
    <xf numFmtId="164" fontId="29" fillId="0" borderId="0" xfId="1" applyNumberFormat="1" applyFont="1" applyFill="1" applyBorder="1" applyAlignment="1">
      <alignment horizontal="left"/>
    </xf>
    <xf numFmtId="164" fontId="15" fillId="0" borderId="0" xfId="0" applyNumberFormat="1" applyFont="1" applyAlignment="1">
      <alignment horizontal="left"/>
    </xf>
    <xf numFmtId="166" fontId="32" fillId="0" borderId="0" xfId="1" applyNumberFormat="1" applyFont="1" applyFill="1" applyBorder="1" applyAlignment="1">
      <alignment horizontal="left"/>
    </xf>
    <xf numFmtId="166" fontId="35" fillId="0" borderId="0" xfId="0" applyNumberFormat="1" applyFont="1" applyAlignment="1">
      <alignment horizontal="left"/>
    </xf>
    <xf numFmtId="167" fontId="0" fillId="0" borderId="0" xfId="2" applyNumberFormat="1" applyFont="1" applyFill="1" applyAlignment="1">
      <alignment horizontal="left"/>
    </xf>
    <xf numFmtId="0" fontId="0" fillId="0" borderId="0" xfId="0" applyAlignment="1">
      <alignment horizontal="left"/>
    </xf>
    <xf numFmtId="0" fontId="40" fillId="8" borderId="0" xfId="0" applyFont="1" applyFill="1" applyAlignment="1">
      <alignment horizontal="left"/>
    </xf>
    <xf numFmtId="166" fontId="33" fillId="0" borderId="0" xfId="1" applyNumberFormat="1" applyFont="1" applyFill="1" applyBorder="1"/>
    <xf numFmtId="165" fontId="41" fillId="0" borderId="0" xfId="1" applyFont="1" applyFill="1" applyBorder="1"/>
    <xf numFmtId="3" fontId="15" fillId="7" borderId="0" xfId="2" applyNumberFormat="1" applyFont="1" applyFill="1" applyAlignment="1">
      <alignment horizontal="right"/>
    </xf>
    <xf numFmtId="4" fontId="15" fillId="7" borderId="0" xfId="2" applyNumberFormat="1" applyFont="1" applyFill="1" applyAlignment="1">
      <alignment horizontal="right"/>
    </xf>
    <xf numFmtId="0" fontId="22" fillId="0" borderId="0" xfId="0" applyFont="1" applyAlignment="1">
      <alignment horizontal="left"/>
    </xf>
    <xf numFmtId="166" fontId="42" fillId="0" borderId="0" xfId="1" applyNumberFormat="1" applyFont="1" applyFill="1" applyBorder="1" applyAlignment="1">
      <alignment horizontal="left"/>
    </xf>
    <xf numFmtId="165" fontId="43" fillId="0" borderId="0" xfId="1" applyFont="1" applyFill="1" applyBorder="1" applyAlignment="1">
      <alignment horizontal="left"/>
    </xf>
    <xf numFmtId="166" fontId="43" fillId="0" borderId="0" xfId="1" applyNumberFormat="1" applyFont="1" applyFill="1" applyBorder="1" applyAlignment="1">
      <alignment horizontal="left"/>
    </xf>
    <xf numFmtId="164" fontId="42" fillId="0" borderId="0" xfId="1" applyNumberFormat="1" applyFont="1" applyFill="1" applyBorder="1" applyAlignment="1">
      <alignment horizontal="left"/>
    </xf>
    <xf numFmtId="166" fontId="42" fillId="0" borderId="0" xfId="0" applyNumberFormat="1" applyFont="1" applyAlignment="1">
      <alignment horizontal="left"/>
    </xf>
    <xf numFmtId="0" fontId="42" fillId="8" borderId="0" xfId="0" applyFont="1" applyFill="1" applyAlignment="1">
      <alignment horizontal="left"/>
    </xf>
    <xf numFmtId="1" fontId="15" fillId="0" borderId="0" xfId="2" applyNumberFormat="1" applyFont="1" applyFill="1" applyAlignment="1">
      <alignment horizontal="left"/>
    </xf>
    <xf numFmtId="4" fontId="15" fillId="0" borderId="0" xfId="2" applyNumberFormat="1" applyFont="1" applyFill="1" applyAlignment="1">
      <alignment horizontal="left"/>
    </xf>
    <xf numFmtId="167" fontId="43" fillId="0" borderId="0" xfId="2" applyNumberFormat="1" applyFont="1" applyFill="1" applyBorder="1" applyAlignment="1">
      <alignment horizontal="left"/>
    </xf>
    <xf numFmtId="166" fontId="15" fillId="0" borderId="0" xfId="2" applyNumberFormat="1" applyFont="1" applyFill="1" applyAlignment="1">
      <alignment horizontal="left"/>
    </xf>
    <xf numFmtId="37" fontId="15" fillId="0" borderId="0" xfId="2" applyNumberFormat="1" applyFont="1" applyFill="1" applyAlignment="1">
      <alignment horizontal="left"/>
    </xf>
    <xf numFmtId="3" fontId="15" fillId="10"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1" workbookViewId="0">
      <selection activeCell="A19" sqref="A19"/>
    </sheetView>
  </sheetViews>
  <sheetFormatPr defaultRowHeight="14.4" x14ac:dyDescent="0.3"/>
  <cols>
    <col min="1" max="1" width="176.109375" style="19" customWidth="1"/>
  </cols>
  <sheetData>
    <row r="1" spans="1:1" ht="23.4" x14ac:dyDescent="0.45">
      <c r="A1" s="18" t="s">
        <v>20</v>
      </c>
    </row>
    <row r="2" spans="1:1" ht="21" x14ac:dyDescent="0.4">
      <c r="A2" s="136" t="s">
        <v>201</v>
      </c>
    </row>
    <row r="3" spans="1:1" ht="20.399999999999999" x14ac:dyDescent="0.35">
      <c r="A3" s="137" t="s">
        <v>199</v>
      </c>
    </row>
    <row r="4" spans="1:1" ht="21" x14ac:dyDescent="0.4">
      <c r="A4" s="138" t="s">
        <v>202</v>
      </c>
    </row>
    <row r="5" spans="1:1" ht="21" x14ac:dyDescent="0.4">
      <c r="A5" s="136" t="s">
        <v>203</v>
      </c>
    </row>
    <row r="6" spans="1:1" ht="21" x14ac:dyDescent="0.4">
      <c r="A6" s="136" t="s">
        <v>204</v>
      </c>
    </row>
    <row r="7" spans="1:1" ht="21" x14ac:dyDescent="0.4">
      <c r="A7" s="136" t="s">
        <v>205</v>
      </c>
    </row>
    <row r="8" spans="1:1" ht="21" x14ac:dyDescent="0.4">
      <c r="A8" s="136"/>
    </row>
    <row r="9" spans="1:1" ht="20.399999999999999" x14ac:dyDescent="0.35">
      <c r="A9" s="137" t="s">
        <v>206</v>
      </c>
    </row>
    <row r="10" spans="1:1" ht="21" x14ac:dyDescent="0.4">
      <c r="A10" s="136" t="s">
        <v>207</v>
      </c>
    </row>
    <row r="11" spans="1:1" ht="21" x14ac:dyDescent="0.4">
      <c r="A11" s="136" t="s">
        <v>208</v>
      </c>
    </row>
    <row r="12" spans="1:1" ht="21" x14ac:dyDescent="0.4">
      <c r="A12" s="136" t="s">
        <v>209</v>
      </c>
    </row>
    <row r="13" spans="1:1" ht="21" x14ac:dyDescent="0.4">
      <c r="A13" s="136" t="s">
        <v>210</v>
      </c>
    </row>
    <row r="14" spans="1:1" ht="21" x14ac:dyDescent="0.4">
      <c r="A14" s="136" t="s">
        <v>211</v>
      </c>
    </row>
    <row r="15" spans="1:1" ht="20.399999999999999" x14ac:dyDescent="0.35">
      <c r="A15" s="137" t="s">
        <v>212</v>
      </c>
    </row>
    <row r="16" spans="1:1" ht="21" x14ac:dyDescent="0.4">
      <c r="A16" s="136" t="s">
        <v>213</v>
      </c>
    </row>
    <row r="17" spans="1:1" ht="21" x14ac:dyDescent="0.4">
      <c r="A17" s="136" t="s">
        <v>214</v>
      </c>
    </row>
    <row r="18" spans="1:1" ht="21" x14ac:dyDescent="0.4">
      <c r="A18" s="136" t="s">
        <v>215</v>
      </c>
    </row>
    <row r="19" spans="1:1" ht="20.399999999999999" x14ac:dyDescent="0.35">
      <c r="A19" s="137" t="s">
        <v>216</v>
      </c>
    </row>
    <row r="20" spans="1:1" ht="21" x14ac:dyDescent="0.4">
      <c r="A20" s="136" t="s">
        <v>217</v>
      </c>
    </row>
    <row r="21" spans="1:1" ht="21" x14ac:dyDescent="0.4">
      <c r="A21" s="136" t="s">
        <v>218</v>
      </c>
    </row>
    <row r="22" spans="1:1" ht="21" x14ac:dyDescent="0.4">
      <c r="A22" s="136" t="s">
        <v>219</v>
      </c>
    </row>
    <row r="23" spans="1:1" ht="21" x14ac:dyDescent="0.4">
      <c r="A23" s="136"/>
    </row>
    <row r="24" spans="1:1" ht="21" x14ac:dyDescent="0.4">
      <c r="A24" s="136" t="s">
        <v>220</v>
      </c>
    </row>
    <row r="26" spans="1:1" x14ac:dyDescent="0.3">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57" activePane="bottomLeft" state="frozen"/>
      <selection pane="bottomLeft" activeCell="I57" sqref="I57"/>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12"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3">
      <c r="A2" t="s">
        <v>27</v>
      </c>
      <c r="B2" s="3">
        <v>30601</v>
      </c>
      <c r="C2" s="3">
        <v>32376</v>
      </c>
      <c r="D2" s="3">
        <v>34350</v>
      </c>
      <c r="E2" s="3">
        <v>36397</v>
      </c>
      <c r="F2" s="3">
        <v>39117</v>
      </c>
      <c r="G2" s="3">
        <v>37403</v>
      </c>
      <c r="H2" s="3">
        <v>44538</v>
      </c>
      <c r="I2" s="3">
        <v>46710</v>
      </c>
    </row>
    <row r="3" spans="1:12" x14ac:dyDescent="0.3">
      <c r="A3" s="22" t="s">
        <v>28</v>
      </c>
      <c r="B3" s="23">
        <v>16534</v>
      </c>
      <c r="C3" s="23">
        <v>17405</v>
      </c>
      <c r="D3" s="23">
        <v>19038</v>
      </c>
      <c r="E3" s="23">
        <v>20441</v>
      </c>
      <c r="F3" s="23">
        <v>21643</v>
      </c>
      <c r="G3" s="23">
        <v>21162</v>
      </c>
      <c r="H3" s="23">
        <v>24576</v>
      </c>
      <c r="I3" s="23">
        <v>25231</v>
      </c>
    </row>
    <row r="4" spans="1:12"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3">
      <c r="A5" s="11" t="s">
        <v>21</v>
      </c>
      <c r="B5" s="3">
        <v>3213</v>
      </c>
      <c r="C5" s="3">
        <v>3278</v>
      </c>
      <c r="D5" s="3">
        <v>3341</v>
      </c>
      <c r="E5" s="3">
        <v>3577</v>
      </c>
      <c r="F5" s="3">
        <v>3753</v>
      </c>
      <c r="G5" s="3">
        <v>3592</v>
      </c>
      <c r="H5" s="3">
        <v>3114</v>
      </c>
      <c r="I5" s="3">
        <v>3850</v>
      </c>
    </row>
    <row r="6" spans="1:12" x14ac:dyDescent="0.3">
      <c r="A6" s="11" t="s">
        <v>22</v>
      </c>
      <c r="B6" s="3">
        <v>6679</v>
      </c>
      <c r="C6" s="3">
        <v>7191</v>
      </c>
      <c r="D6" s="3">
        <v>7222</v>
      </c>
      <c r="E6" s="3">
        <v>7934</v>
      </c>
      <c r="F6" s="3">
        <v>8949</v>
      </c>
      <c r="G6" s="3">
        <v>9534</v>
      </c>
      <c r="H6" s="3">
        <v>9911</v>
      </c>
      <c r="I6" s="3">
        <v>10954</v>
      </c>
    </row>
    <row r="7" spans="1:12"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3">
      <c r="A8" s="2" t="s">
        <v>24</v>
      </c>
      <c r="B8" s="3">
        <v>28</v>
      </c>
      <c r="C8" s="3">
        <v>19</v>
      </c>
      <c r="D8" s="3">
        <v>59</v>
      </c>
      <c r="E8" s="3">
        <v>54</v>
      </c>
      <c r="F8" s="3">
        <v>49</v>
      </c>
      <c r="G8" s="3">
        <v>89</v>
      </c>
      <c r="H8" s="3">
        <v>262</v>
      </c>
      <c r="I8" s="3">
        <v>205</v>
      </c>
    </row>
    <row r="9" spans="1:12" x14ac:dyDescent="0.3">
      <c r="A9" s="2" t="s">
        <v>5</v>
      </c>
      <c r="B9" s="3">
        <v>-58</v>
      </c>
      <c r="C9" s="3">
        <v>-140</v>
      </c>
      <c r="D9" s="3">
        <v>-196</v>
      </c>
      <c r="E9" s="3">
        <v>66</v>
      </c>
      <c r="F9" s="3">
        <v>-78</v>
      </c>
      <c r="G9" s="3">
        <v>139</v>
      </c>
      <c r="H9" s="3">
        <v>14</v>
      </c>
      <c r="I9" s="3">
        <v>-181</v>
      </c>
    </row>
    <row r="10" spans="1:12"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3">
      <c r="A11" s="2" t="s">
        <v>26</v>
      </c>
      <c r="B11" s="3">
        <v>932</v>
      </c>
      <c r="C11" s="3">
        <v>863</v>
      </c>
      <c r="D11" s="3">
        <v>646</v>
      </c>
      <c r="E11" s="3">
        <v>2392</v>
      </c>
      <c r="F11" s="3">
        <v>772</v>
      </c>
      <c r="G11" s="3">
        <v>348</v>
      </c>
      <c r="H11" s="3">
        <v>934</v>
      </c>
      <c r="I11" s="3">
        <v>605</v>
      </c>
    </row>
    <row r="12" spans="1:12"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 thickTop="1" x14ac:dyDescent="0.3">
      <c r="A13" s="1" t="s">
        <v>8</v>
      </c>
    </row>
    <row r="14" spans="1:12" x14ac:dyDescent="0.3">
      <c r="A14" s="2" t="s">
        <v>6</v>
      </c>
      <c r="B14">
        <v>1.9</v>
      </c>
      <c r="C14">
        <v>2.21</v>
      </c>
      <c r="D14">
        <v>2.56</v>
      </c>
      <c r="E14">
        <v>1.19</v>
      </c>
      <c r="F14">
        <v>2.5499999999999998</v>
      </c>
      <c r="G14">
        <v>1.63</v>
      </c>
      <c r="H14">
        <v>3.64</v>
      </c>
      <c r="I14">
        <v>3.83</v>
      </c>
    </row>
    <row r="15" spans="1:12" x14ac:dyDescent="0.3">
      <c r="A15" s="2" t="s">
        <v>7</v>
      </c>
      <c r="B15">
        <v>1.85</v>
      </c>
      <c r="C15">
        <v>2.16</v>
      </c>
      <c r="D15">
        <v>2.5099999999999998</v>
      </c>
      <c r="E15">
        <v>1.17</v>
      </c>
      <c r="F15">
        <v>2.4900000000000002</v>
      </c>
      <c r="G15">
        <v>1.6</v>
      </c>
      <c r="H15">
        <v>3.56</v>
      </c>
      <c r="I15">
        <v>3.75</v>
      </c>
    </row>
    <row r="16" spans="1:12"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v>0</v>
      </c>
      <c r="C49" s="3">
        <v>0</v>
      </c>
      <c r="D49" s="3">
        <v>0</v>
      </c>
      <c r="E49" s="3">
        <v>0</v>
      </c>
      <c r="F49" s="3">
        <v>0</v>
      </c>
      <c r="G49" s="3"/>
      <c r="H49" s="3"/>
      <c r="I49" s="3"/>
    </row>
    <row r="50" spans="1:9" x14ac:dyDescent="0.3">
      <c r="A50" s="11" t="s">
        <v>53</v>
      </c>
      <c r="B50" s="3">
        <v>0</v>
      </c>
      <c r="C50" s="3">
        <v>0</v>
      </c>
      <c r="D50" s="3">
        <v>0</v>
      </c>
      <c r="E50" s="3">
        <v>0</v>
      </c>
      <c r="F50" s="3">
        <v>0</v>
      </c>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c r="H53" s="3"/>
      <c r="I53" s="3"/>
    </row>
    <row r="54" spans="1:9" x14ac:dyDescent="0.3">
      <c r="A54" s="17" t="s">
        <v>57</v>
      </c>
      <c r="B54" s="3">
        <v>3</v>
      </c>
      <c r="C54" s="3">
        <v>3</v>
      </c>
      <c r="D54">
        <v>3</v>
      </c>
      <c r="E54">
        <v>3</v>
      </c>
      <c r="F54" s="3">
        <v>3</v>
      </c>
      <c r="G54" s="3">
        <v>3</v>
      </c>
      <c r="H54" s="3">
        <v>3</v>
      </c>
      <c r="I54" s="3">
        <v>3</v>
      </c>
    </row>
    <row r="55" spans="1:9" x14ac:dyDescent="0.3">
      <c r="A55" s="17" t="s">
        <v>58</v>
      </c>
      <c r="B55" s="3">
        <v>6773</v>
      </c>
      <c r="C55" s="3">
        <v>7786</v>
      </c>
      <c r="D55" s="8">
        <v>5710</v>
      </c>
      <c r="E55" s="8">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8">
        <v>6907</v>
      </c>
      <c r="E57" s="8">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3">
      <c r="A65" s="2" t="s">
        <v>65</v>
      </c>
      <c r="B65" s="3"/>
      <c r="C65" s="3"/>
      <c r="D65" s="3"/>
      <c r="E65" s="3"/>
      <c r="F65" s="3"/>
      <c r="G65" s="3"/>
      <c r="H65" s="3"/>
      <c r="I65" s="3"/>
    </row>
    <row r="66" spans="1:12" x14ac:dyDescent="0.3">
      <c r="A66" s="11" t="s">
        <v>66</v>
      </c>
      <c r="B66" s="3">
        <v>606</v>
      </c>
      <c r="C66" s="3">
        <v>649</v>
      </c>
      <c r="D66" s="3">
        <v>706</v>
      </c>
      <c r="E66" s="3">
        <v>747</v>
      </c>
      <c r="F66" s="3">
        <v>705</v>
      </c>
      <c r="G66" s="3">
        <v>721</v>
      </c>
      <c r="H66" s="3">
        <v>744</v>
      </c>
      <c r="I66" s="3">
        <v>717</v>
      </c>
    </row>
    <row r="67" spans="1:12" x14ac:dyDescent="0.3">
      <c r="A67" s="11" t="s">
        <v>67</v>
      </c>
      <c r="B67" s="3">
        <v>-113</v>
      </c>
      <c r="C67" s="3">
        <v>-80</v>
      </c>
      <c r="D67" s="3">
        <v>-273</v>
      </c>
      <c r="E67" s="3">
        <v>647</v>
      </c>
      <c r="F67" s="3">
        <v>34</v>
      </c>
      <c r="G67" s="3">
        <v>-380</v>
      </c>
      <c r="H67" s="3">
        <v>-385</v>
      </c>
      <c r="I67" s="3">
        <v>-650</v>
      </c>
    </row>
    <row r="68" spans="1:12" x14ac:dyDescent="0.3">
      <c r="A68" s="11" t="s">
        <v>68</v>
      </c>
      <c r="B68" s="3">
        <v>191</v>
      </c>
      <c r="C68" s="3">
        <v>236</v>
      </c>
      <c r="D68" s="3">
        <v>215</v>
      </c>
      <c r="E68" s="3">
        <v>218</v>
      </c>
      <c r="F68" s="3">
        <v>325</v>
      </c>
      <c r="G68" s="3">
        <v>429</v>
      </c>
      <c r="H68" s="3">
        <v>611</v>
      </c>
      <c r="I68" s="3">
        <v>638</v>
      </c>
    </row>
    <row r="69" spans="1:12" x14ac:dyDescent="0.3">
      <c r="A69" s="11" t="s">
        <v>69</v>
      </c>
      <c r="B69" s="3">
        <v>43</v>
      </c>
      <c r="C69" s="3">
        <v>13</v>
      </c>
      <c r="D69" s="3">
        <v>10</v>
      </c>
      <c r="E69" s="3">
        <v>27</v>
      </c>
      <c r="F69" s="3">
        <v>15</v>
      </c>
      <c r="G69" s="3">
        <v>398</v>
      </c>
      <c r="H69" s="3">
        <v>53</v>
      </c>
      <c r="I69" s="3">
        <v>123</v>
      </c>
    </row>
    <row r="70" spans="1:12" x14ac:dyDescent="0.3">
      <c r="A70" s="11" t="s">
        <v>70</v>
      </c>
      <c r="B70" s="3">
        <v>424</v>
      </c>
      <c r="C70" s="3">
        <v>98</v>
      </c>
      <c r="D70" s="3">
        <v>-117</v>
      </c>
      <c r="E70" s="3">
        <v>-99</v>
      </c>
      <c r="F70" s="3">
        <v>233</v>
      </c>
      <c r="G70" s="3">
        <v>23</v>
      </c>
      <c r="H70" s="3">
        <v>-138</v>
      </c>
      <c r="I70" s="3">
        <v>-26</v>
      </c>
    </row>
    <row r="71" spans="1:12" x14ac:dyDescent="0.3">
      <c r="A71" s="2" t="s">
        <v>71</v>
      </c>
      <c r="B71" s="3"/>
      <c r="C71" s="3"/>
      <c r="D71" s="3"/>
      <c r="E71" s="3"/>
      <c r="F71" s="3"/>
      <c r="G71" s="3"/>
      <c r="H71" s="3"/>
      <c r="I71" s="3"/>
    </row>
    <row r="72" spans="1:12" x14ac:dyDescent="0.3">
      <c r="A72" s="11" t="s">
        <v>72</v>
      </c>
      <c r="B72" s="3">
        <v>-216</v>
      </c>
      <c r="C72" s="3">
        <v>60</v>
      </c>
      <c r="D72" s="3">
        <v>-426</v>
      </c>
      <c r="E72" s="3">
        <v>187</v>
      </c>
      <c r="F72" s="3">
        <v>-270</v>
      </c>
      <c r="G72" s="3">
        <v>1239</v>
      </c>
      <c r="H72" s="3">
        <v>-1606</v>
      </c>
      <c r="I72" s="3">
        <v>-504</v>
      </c>
      <c r="L72" s="77"/>
    </row>
    <row r="73" spans="1:12" x14ac:dyDescent="0.3">
      <c r="A73" s="11" t="s">
        <v>73</v>
      </c>
      <c r="B73" s="3">
        <v>-621</v>
      </c>
      <c r="C73" s="3">
        <v>-590</v>
      </c>
      <c r="D73" s="3">
        <v>-231</v>
      </c>
      <c r="E73" s="3">
        <v>-255</v>
      </c>
      <c r="F73" s="3">
        <v>-490</v>
      </c>
      <c r="G73" s="3">
        <v>-1854</v>
      </c>
      <c r="H73" s="3">
        <v>507</v>
      </c>
      <c r="I73" s="3">
        <v>-1676</v>
      </c>
    </row>
    <row r="74" spans="1:12" x14ac:dyDescent="0.3">
      <c r="A74" s="11" t="s">
        <v>98</v>
      </c>
      <c r="B74" s="3">
        <v>-144</v>
      </c>
      <c r="C74" s="3">
        <v>-161</v>
      </c>
      <c r="D74" s="3">
        <v>-120</v>
      </c>
      <c r="E74" s="3">
        <v>35</v>
      </c>
      <c r="F74" s="3">
        <v>-203</v>
      </c>
      <c r="G74" s="3">
        <v>-654</v>
      </c>
      <c r="H74" s="3">
        <v>-182</v>
      </c>
      <c r="I74" s="3">
        <v>-845</v>
      </c>
    </row>
    <row r="75" spans="1:12" x14ac:dyDescent="0.3">
      <c r="A75" s="11" t="s">
        <v>97</v>
      </c>
      <c r="B75" s="3">
        <v>1237</v>
      </c>
      <c r="C75" s="3">
        <v>-889</v>
      </c>
      <c r="D75" s="3">
        <v>-158</v>
      </c>
      <c r="E75" s="3">
        <v>1515</v>
      </c>
      <c r="F75" s="3">
        <v>1525</v>
      </c>
      <c r="G75" s="3">
        <v>24</v>
      </c>
      <c r="H75" s="3">
        <v>1326</v>
      </c>
      <c r="I75" s="3">
        <v>1365</v>
      </c>
      <c r="K75" s="77"/>
    </row>
    <row r="76" spans="1:12"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3">
      <c r="A77" s="1" t="s">
        <v>75</v>
      </c>
      <c r="B77" s="3"/>
      <c r="C77" s="3"/>
      <c r="D77" s="3"/>
      <c r="E77" s="3"/>
      <c r="F77" s="3"/>
      <c r="G77" s="3"/>
      <c r="H77" s="3"/>
      <c r="I77" s="3"/>
    </row>
    <row r="78" spans="1:12" x14ac:dyDescent="0.3">
      <c r="A78" s="2" t="s">
        <v>76</v>
      </c>
      <c r="B78" s="3">
        <v>-4936</v>
      </c>
      <c r="C78" s="3">
        <v>-5367</v>
      </c>
      <c r="D78" s="3">
        <v>-5928</v>
      </c>
      <c r="E78" s="3">
        <v>-4783</v>
      </c>
      <c r="F78" s="3">
        <v>-2937</v>
      </c>
      <c r="G78" s="3">
        <v>-2426</v>
      </c>
      <c r="H78" s="3">
        <v>-9961</v>
      </c>
      <c r="I78" s="3">
        <v>-12913</v>
      </c>
    </row>
    <row r="79" spans="1:12" x14ac:dyDescent="0.3">
      <c r="A79" s="2" t="s">
        <v>77</v>
      </c>
      <c r="B79" s="3">
        <v>3655</v>
      </c>
      <c r="C79" s="3">
        <v>2924</v>
      </c>
      <c r="D79" s="3">
        <v>3623</v>
      </c>
      <c r="E79" s="3">
        <v>3613</v>
      </c>
      <c r="F79" s="3">
        <v>1715</v>
      </c>
      <c r="G79" s="3">
        <v>74</v>
      </c>
      <c r="H79" s="3">
        <v>4236</v>
      </c>
      <c r="I79" s="3">
        <v>8199</v>
      </c>
    </row>
    <row r="80" spans="1:12" x14ac:dyDescent="0.3">
      <c r="A80" s="47" t="s">
        <v>140</v>
      </c>
      <c r="B80" s="48">
        <v>-150</v>
      </c>
      <c r="C80" s="48">
        <v>150</v>
      </c>
      <c r="D80" s="48">
        <v>0</v>
      </c>
      <c r="E80" s="48">
        <v>0</v>
      </c>
      <c r="F80" s="48"/>
      <c r="G80" s="48"/>
      <c r="H80" s="48"/>
      <c r="I80" s="48"/>
    </row>
    <row r="81" spans="1:9" x14ac:dyDescent="0.3">
      <c r="A81" s="47" t="s">
        <v>141</v>
      </c>
      <c r="B81" s="48">
        <v>3</v>
      </c>
      <c r="C81" s="48">
        <v>10</v>
      </c>
      <c r="D81" s="48">
        <v>13</v>
      </c>
      <c r="E81" s="48">
        <v>3</v>
      </c>
      <c r="F81" s="48"/>
      <c r="G81" s="48"/>
      <c r="H81" s="48"/>
      <c r="I81" s="48"/>
    </row>
    <row r="82" spans="1:9" x14ac:dyDescent="0.3">
      <c r="A82" s="2" t="s">
        <v>78</v>
      </c>
      <c r="B82" s="49">
        <v>2216</v>
      </c>
      <c r="C82" s="49">
        <v>2386</v>
      </c>
      <c r="D82" s="49">
        <v>2423</v>
      </c>
      <c r="E82" s="49">
        <v>2496</v>
      </c>
      <c r="F82" s="49">
        <v>2072</v>
      </c>
      <c r="G82" s="49">
        <v>2379</v>
      </c>
      <c r="H82" s="3">
        <v>2449</v>
      </c>
      <c r="I82" s="3">
        <v>3967</v>
      </c>
    </row>
    <row r="83" spans="1:9" x14ac:dyDescent="0.3">
      <c r="A83" s="2" t="s">
        <v>14</v>
      </c>
      <c r="B83" s="3">
        <v>-963</v>
      </c>
      <c r="C83" s="3">
        <v>-1143</v>
      </c>
      <c r="D83" s="3">
        <v>-1105</v>
      </c>
      <c r="E83" s="3">
        <v>-1028</v>
      </c>
      <c r="F83" s="3">
        <v>-1119</v>
      </c>
      <c r="G83" s="3">
        <v>-1086</v>
      </c>
      <c r="H83" s="3">
        <v>-695</v>
      </c>
      <c r="I83" s="3">
        <v>-758</v>
      </c>
    </row>
    <row r="84" spans="1:9" x14ac:dyDescent="0.3">
      <c r="A84" s="2" t="s">
        <v>79</v>
      </c>
      <c r="B84" s="3">
        <v>0</v>
      </c>
      <c r="C84" s="3">
        <v>6</v>
      </c>
      <c r="D84" s="3">
        <v>-34</v>
      </c>
      <c r="E84" s="3">
        <v>-25</v>
      </c>
      <c r="F84" s="3">
        <v>5</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-7</v>
      </c>
      <c r="C89" s="3">
        <v>-106</v>
      </c>
      <c r="D89" s="3">
        <v>-44</v>
      </c>
      <c r="E89" s="3">
        <v>-6</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199</v>
      </c>
      <c r="C93" s="3">
        <v>274</v>
      </c>
      <c r="D93" s="3">
        <v>-46</v>
      </c>
      <c r="E93" s="3">
        <v>-78</v>
      </c>
      <c r="F93" s="3">
        <v>-44</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v>3852</v>
      </c>
      <c r="D97" s="3">
        <v>3138</v>
      </c>
      <c r="E97" s="3">
        <v>3808</v>
      </c>
      <c r="F97" s="3">
        <v>4249</v>
      </c>
      <c r="G97" s="3">
        <v>4466</v>
      </c>
      <c r="H97" s="3">
        <v>8348</v>
      </c>
      <c r="I97" s="3">
        <f>+H98</f>
        <v>9889</v>
      </c>
    </row>
    <row r="98" spans="1:9" ht="15" thickBot="1" x14ac:dyDescent="0.35">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11" x14ac:dyDescent="0.3">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3">
      <c r="A114" s="11" t="s">
        <v>113</v>
      </c>
      <c r="B114">
        <v>7344</v>
      </c>
      <c r="C114">
        <v>7403</v>
      </c>
      <c r="D114">
        <v>5192</v>
      </c>
      <c r="E114">
        <v>5875</v>
      </c>
      <c r="F114">
        <v>6293</v>
      </c>
      <c r="G114">
        <v>5892</v>
      </c>
      <c r="H114" s="8">
        <v>6970</v>
      </c>
      <c r="I114" s="8">
        <v>7388</v>
      </c>
    </row>
    <row r="115" spans="1:11" x14ac:dyDescent="0.3">
      <c r="A115" s="11" t="s">
        <v>114</v>
      </c>
      <c r="B115">
        <v>3072</v>
      </c>
      <c r="C115">
        <v>3038</v>
      </c>
      <c r="D115">
        <v>2395</v>
      </c>
      <c r="E115">
        <v>2940</v>
      </c>
      <c r="F115">
        <v>3087</v>
      </c>
      <c r="G115">
        <v>3053</v>
      </c>
      <c r="H115" s="8">
        <v>3996</v>
      </c>
      <c r="I115" s="8">
        <v>4527</v>
      </c>
      <c r="K115" s="77"/>
    </row>
    <row r="116" spans="1:11" x14ac:dyDescent="0.3">
      <c r="A116" s="11" t="s">
        <v>115</v>
      </c>
      <c r="B116">
        <v>608</v>
      </c>
      <c r="C116">
        <v>575</v>
      </c>
      <c r="D116">
        <v>383</v>
      </c>
      <c r="E116">
        <v>427</v>
      </c>
      <c r="F116">
        <v>432</v>
      </c>
      <c r="G116">
        <v>402</v>
      </c>
      <c r="H116">
        <v>490</v>
      </c>
      <c r="I116">
        <v>564</v>
      </c>
    </row>
    <row r="117" spans="1:11" x14ac:dyDescent="0.3">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3">
      <c r="A118" s="11" t="s">
        <v>113</v>
      </c>
      <c r="B118" s="50">
        <v>2016</v>
      </c>
      <c r="C118">
        <v>2599</v>
      </c>
      <c r="D118">
        <v>2920</v>
      </c>
      <c r="E118">
        <v>3496</v>
      </c>
      <c r="F118">
        <v>4262</v>
      </c>
      <c r="G118">
        <v>4635</v>
      </c>
      <c r="H118" s="8">
        <v>5748</v>
      </c>
      <c r="I118" s="8">
        <v>5416</v>
      </c>
    </row>
    <row r="119" spans="1:11" x14ac:dyDescent="0.3">
      <c r="A119" s="11" t="s">
        <v>114</v>
      </c>
      <c r="B119" s="51">
        <v>925</v>
      </c>
      <c r="C119">
        <v>1055</v>
      </c>
      <c r="D119">
        <v>1188</v>
      </c>
      <c r="E119">
        <v>1508</v>
      </c>
      <c r="F119">
        <v>1808</v>
      </c>
      <c r="G119">
        <v>1896</v>
      </c>
      <c r="H119" s="8">
        <v>2347</v>
      </c>
      <c r="I119" s="8">
        <v>1938</v>
      </c>
    </row>
    <row r="120" spans="1:11" x14ac:dyDescent="0.3">
      <c r="A120" s="11" t="s">
        <v>115</v>
      </c>
      <c r="B120" s="51">
        <v>126</v>
      </c>
      <c r="C120">
        <v>131</v>
      </c>
      <c r="D120">
        <v>129</v>
      </c>
      <c r="E120">
        <v>130</v>
      </c>
      <c r="F120">
        <v>138</v>
      </c>
      <c r="G120">
        <v>148</v>
      </c>
      <c r="H120">
        <v>195</v>
      </c>
      <c r="I120">
        <v>193</v>
      </c>
    </row>
    <row r="121" spans="1:11" x14ac:dyDescent="0.3">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3">
      <c r="A122" s="11" t="s">
        <v>113</v>
      </c>
      <c r="B122">
        <v>452</v>
      </c>
      <c r="C122">
        <v>570</v>
      </c>
      <c r="D122">
        <v>3285</v>
      </c>
      <c r="E122">
        <v>3575</v>
      </c>
      <c r="F122">
        <v>3622</v>
      </c>
      <c r="G122">
        <v>3449</v>
      </c>
      <c r="H122" s="8">
        <v>3659</v>
      </c>
      <c r="I122" s="8">
        <v>4111</v>
      </c>
      <c r="K122" s="77"/>
    </row>
    <row r="123" spans="1:11" x14ac:dyDescent="0.3">
      <c r="A123" s="11" t="s">
        <v>114</v>
      </c>
      <c r="B123">
        <v>230</v>
      </c>
      <c r="C123">
        <v>228</v>
      </c>
      <c r="D123">
        <v>1185</v>
      </c>
      <c r="E123">
        <v>1347</v>
      </c>
      <c r="F123">
        <v>1395</v>
      </c>
      <c r="G123">
        <v>1365</v>
      </c>
      <c r="H123" s="8">
        <v>1494</v>
      </c>
      <c r="I123" s="8">
        <v>1610</v>
      </c>
    </row>
    <row r="124" spans="1:11" x14ac:dyDescent="0.3">
      <c r="A124" s="11" t="s">
        <v>115</v>
      </c>
      <c r="B124">
        <v>73</v>
      </c>
      <c r="C124">
        <v>71</v>
      </c>
      <c r="D124">
        <v>267</v>
      </c>
      <c r="E124">
        <v>244</v>
      </c>
      <c r="F124">
        <v>237</v>
      </c>
      <c r="G124">
        <v>214</v>
      </c>
      <c r="H124">
        <v>190</v>
      </c>
      <c r="I124">
        <v>234</v>
      </c>
    </row>
    <row r="125" spans="1:11" x14ac:dyDescent="0.3">
      <c r="A125" s="2" t="s">
        <v>107</v>
      </c>
      <c r="B125" s="3">
        <v>115</v>
      </c>
      <c r="C125" s="3">
        <v>73</v>
      </c>
      <c r="D125" s="3">
        <v>73</v>
      </c>
      <c r="E125" s="3">
        <v>88</v>
      </c>
      <c r="F125" s="3">
        <v>42</v>
      </c>
      <c r="G125" s="3">
        <v>30</v>
      </c>
      <c r="H125" s="3">
        <v>25</v>
      </c>
      <c r="I125" s="3">
        <v>102</v>
      </c>
    </row>
    <row r="126" spans="1:11" x14ac:dyDescent="0.3">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3">
      <c r="A127" s="2" t="s">
        <v>104</v>
      </c>
      <c r="B127" s="3">
        <v>1982</v>
      </c>
      <c r="C127" s="3">
        <v>1955</v>
      </c>
      <c r="D127" s="3">
        <v>2042</v>
      </c>
      <c r="E127" s="3">
        <v>1886</v>
      </c>
      <c r="F127" s="3">
        <v>1906</v>
      </c>
      <c r="G127" s="3">
        <v>1846</v>
      </c>
      <c r="H127" s="3">
        <f>+SUM(H128:H131)</f>
        <v>2205</v>
      </c>
      <c r="I127" s="3">
        <f>+SUM(I128:I131)</f>
        <v>2346</v>
      </c>
      <c r="J127" s="77"/>
    </row>
    <row r="128" spans="1:11" x14ac:dyDescent="0.3">
      <c r="A128" s="11" t="s">
        <v>113</v>
      </c>
      <c r="B128" s="3">
        <v>0</v>
      </c>
      <c r="C128" s="3">
        <v>0</v>
      </c>
      <c r="D128" s="3">
        <v>0</v>
      </c>
      <c r="E128" s="3">
        <v>0</v>
      </c>
      <c r="F128" s="3">
        <v>0</v>
      </c>
      <c r="G128" s="3">
        <v>0</v>
      </c>
      <c r="H128" s="3">
        <v>1986</v>
      </c>
      <c r="I128" s="3">
        <v>2094</v>
      </c>
    </row>
    <row r="129" spans="1:9" x14ac:dyDescent="0.3">
      <c r="A129" s="11" t="s">
        <v>114</v>
      </c>
      <c r="B129" s="3">
        <v>0</v>
      </c>
      <c r="C129" s="3">
        <v>0</v>
      </c>
      <c r="D129" s="3">
        <v>0</v>
      </c>
      <c r="E129" s="3">
        <v>0</v>
      </c>
      <c r="F129" s="3">
        <v>0</v>
      </c>
      <c r="G129" s="3">
        <v>0</v>
      </c>
      <c r="H129" s="3">
        <v>104</v>
      </c>
      <c r="I129" s="3">
        <v>103</v>
      </c>
    </row>
    <row r="130" spans="1:9" x14ac:dyDescent="0.3">
      <c r="A130" s="11" t="s">
        <v>115</v>
      </c>
      <c r="B130" s="3">
        <v>0</v>
      </c>
      <c r="C130" s="3">
        <v>0</v>
      </c>
      <c r="D130" s="3">
        <v>0</v>
      </c>
      <c r="E130" s="3">
        <v>0</v>
      </c>
      <c r="F130" s="3">
        <v>0</v>
      </c>
      <c r="G130" s="3">
        <v>0</v>
      </c>
      <c r="H130" s="3">
        <v>29</v>
      </c>
      <c r="I130" s="3">
        <v>26</v>
      </c>
    </row>
    <row r="131" spans="1:9" x14ac:dyDescent="0.3">
      <c r="A131" s="11" t="s">
        <v>121</v>
      </c>
      <c r="B131" s="3">
        <v>0</v>
      </c>
      <c r="C131" s="3">
        <v>0</v>
      </c>
      <c r="D131" s="3">
        <v>0</v>
      </c>
      <c r="E131" s="3">
        <v>0</v>
      </c>
      <c r="F131" s="3">
        <v>0</v>
      </c>
      <c r="G131" s="3">
        <v>0</v>
      </c>
      <c r="H131" s="3">
        <v>86</v>
      </c>
      <c r="I131" s="3">
        <v>123</v>
      </c>
    </row>
    <row r="132" spans="1:9" x14ac:dyDescent="0.3">
      <c r="A132" s="2" t="s">
        <v>108</v>
      </c>
      <c r="B132" s="3">
        <v>-82</v>
      </c>
      <c r="C132" s="3">
        <v>-86</v>
      </c>
      <c r="D132" s="3">
        <v>75</v>
      </c>
      <c r="E132" s="3">
        <v>26</v>
      </c>
      <c r="F132" s="3">
        <v>-7</v>
      </c>
      <c r="G132" s="3">
        <v>-11</v>
      </c>
      <c r="H132" s="3">
        <v>40</v>
      </c>
      <c r="I132" s="3">
        <v>-72</v>
      </c>
    </row>
    <row r="133" spans="1:9" ht="15" thickBot="1" x14ac:dyDescent="0.35">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 thickTop="1" x14ac:dyDescent="0.3">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3">
      <c r="A135" s="1" t="s">
        <v>110</v>
      </c>
    </row>
    <row r="136" spans="1:9" x14ac:dyDescent="0.3">
      <c r="A136" s="2" t="s">
        <v>100</v>
      </c>
      <c r="B136" s="3">
        <v>3645</v>
      </c>
      <c r="C136" s="3">
        <v>3763</v>
      </c>
      <c r="D136" s="3">
        <v>3875</v>
      </c>
      <c r="E136" s="3">
        <v>3600</v>
      </c>
      <c r="F136" s="3">
        <v>3925</v>
      </c>
      <c r="G136" s="3">
        <v>2899</v>
      </c>
      <c r="H136" s="3">
        <v>5089</v>
      </c>
      <c r="I136" s="3">
        <v>5114</v>
      </c>
    </row>
    <row r="137" spans="1:9" x14ac:dyDescent="0.3">
      <c r="A137" s="2" t="s">
        <v>101</v>
      </c>
      <c r="B137" s="3">
        <v>2342</v>
      </c>
      <c r="C137" s="3">
        <v>2615</v>
      </c>
      <c r="D137" s="3">
        <v>1507</v>
      </c>
      <c r="E137" s="3">
        <v>1587</v>
      </c>
      <c r="F137" s="3">
        <v>1995</v>
      </c>
      <c r="G137" s="3">
        <v>1541</v>
      </c>
      <c r="H137" s="3">
        <v>2435</v>
      </c>
      <c r="I137" s="3">
        <v>3293</v>
      </c>
    </row>
    <row r="138" spans="1:9" x14ac:dyDescent="0.3">
      <c r="A138" s="2" t="s">
        <v>102</v>
      </c>
      <c r="B138" s="3">
        <v>993</v>
      </c>
      <c r="C138" s="3">
        <v>1372</v>
      </c>
      <c r="D138" s="3">
        <v>1507</v>
      </c>
      <c r="E138" s="3">
        <v>1807</v>
      </c>
      <c r="F138" s="3">
        <v>2376</v>
      </c>
      <c r="G138" s="3">
        <v>2490</v>
      </c>
      <c r="H138" s="3">
        <v>3243</v>
      </c>
      <c r="I138" s="3">
        <v>2365</v>
      </c>
    </row>
    <row r="139" spans="1:9" x14ac:dyDescent="0.3">
      <c r="A139" s="2" t="s">
        <v>106</v>
      </c>
      <c r="B139" s="3">
        <v>100</v>
      </c>
      <c r="C139" s="3">
        <v>174</v>
      </c>
      <c r="D139" s="3">
        <v>980</v>
      </c>
      <c r="E139" s="3">
        <v>1189</v>
      </c>
      <c r="F139" s="3">
        <v>1323</v>
      </c>
      <c r="G139" s="3">
        <v>1184</v>
      </c>
      <c r="H139" s="3">
        <v>1530</v>
      </c>
      <c r="I139" s="3">
        <v>1896</v>
      </c>
    </row>
    <row r="140" spans="1:9" x14ac:dyDescent="0.3">
      <c r="A140" s="2" t="s">
        <v>107</v>
      </c>
      <c r="B140" s="3">
        <v>-2267</v>
      </c>
      <c r="C140" s="3">
        <v>-2596</v>
      </c>
      <c r="D140" s="3">
        <v>-2677</v>
      </c>
      <c r="E140" s="3">
        <v>-2658</v>
      </c>
      <c r="F140" s="3">
        <v>-3262</v>
      </c>
      <c r="G140" s="3">
        <v>-3468</v>
      </c>
      <c r="H140" s="3">
        <v>-3656</v>
      </c>
      <c r="I140" s="3">
        <v>-4262</v>
      </c>
    </row>
    <row r="141" spans="1:9" x14ac:dyDescent="0.3">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3">
      <c r="A142" s="2" t="s">
        <v>104</v>
      </c>
      <c r="B142" s="3">
        <v>517</v>
      </c>
      <c r="C142" s="3">
        <v>487</v>
      </c>
      <c r="D142" s="3">
        <v>477</v>
      </c>
      <c r="E142" s="3">
        <v>310</v>
      </c>
      <c r="F142" s="3">
        <v>303</v>
      </c>
      <c r="G142" s="3">
        <v>297</v>
      </c>
      <c r="H142" s="3">
        <v>543</v>
      </c>
      <c r="I142" s="3">
        <v>669</v>
      </c>
    </row>
    <row r="143" spans="1:9" x14ac:dyDescent="0.3">
      <c r="A143" s="2" t="s">
        <v>108</v>
      </c>
      <c r="B143" s="3">
        <v>-1097</v>
      </c>
      <c r="C143" s="3">
        <v>-1173</v>
      </c>
      <c r="D143" s="3">
        <v>-724</v>
      </c>
      <c r="E143" s="3">
        <v>-1456</v>
      </c>
      <c r="F143" s="3">
        <v>-1810</v>
      </c>
      <c r="G143" s="3">
        <v>-1967</v>
      </c>
      <c r="H143" s="3">
        <v>-2261</v>
      </c>
      <c r="I143" s="3">
        <v>-2219</v>
      </c>
    </row>
    <row r="144" spans="1:9" ht="15" thickBot="1" x14ac:dyDescent="0.35">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 thickTop="1" x14ac:dyDescent="0.3">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3">
        <f>451+47+103</f>
        <v>601</v>
      </c>
      <c r="C148" s="3">
        <f>589+50+109</f>
        <v>748</v>
      </c>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3">
        <v>205</v>
      </c>
      <c r="C150" s="3">
        <v>223</v>
      </c>
      <c r="D150" s="3">
        <v>340</v>
      </c>
      <c r="E150" s="3">
        <v>339</v>
      </c>
      <c r="F150" s="3">
        <v>326</v>
      </c>
      <c r="G150" s="3">
        <v>296</v>
      </c>
      <c r="H150" s="3">
        <v>304</v>
      </c>
      <c r="I150" s="3">
        <v>274</v>
      </c>
    </row>
    <row r="151" spans="1:9" x14ac:dyDescent="0.3">
      <c r="A151" s="2" t="s">
        <v>107</v>
      </c>
      <c r="B151">
        <v>484</v>
      </c>
      <c r="C151">
        <v>511</v>
      </c>
      <c r="D151" s="3">
        <v>533</v>
      </c>
      <c r="E151" s="3">
        <v>597</v>
      </c>
      <c r="F151" s="3">
        <v>665</v>
      </c>
      <c r="G151" s="3">
        <v>830</v>
      </c>
      <c r="H151" s="3">
        <v>780</v>
      </c>
      <c r="I151" s="3">
        <v>789</v>
      </c>
    </row>
    <row r="152" spans="1:9" x14ac:dyDescent="0.3">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 thickTop="1" x14ac:dyDescent="0.3">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3">
        <f>216+20+37</f>
        <v>273</v>
      </c>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3">
        <v>15</v>
      </c>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3">
      <c r="A164" s="2" t="s">
        <v>104</v>
      </c>
      <c r="B164" s="3">
        <v>69</v>
      </c>
      <c r="C164" s="3">
        <v>39</v>
      </c>
      <c r="D164" s="3">
        <v>30</v>
      </c>
      <c r="E164" s="3">
        <v>22</v>
      </c>
      <c r="F164" s="3">
        <v>18</v>
      </c>
      <c r="G164" s="3">
        <v>12</v>
      </c>
      <c r="H164" s="3">
        <v>7</v>
      </c>
      <c r="I164" s="3">
        <v>9</v>
      </c>
    </row>
    <row r="165" spans="1:9" x14ac:dyDescent="0.3">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 thickBot="1" x14ac:dyDescent="0.35">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 thickTop="1" x14ac:dyDescent="0.3">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3">
        <f>75+12+27</f>
        <v>114</v>
      </c>
      <c r="C170" s="3">
        <f>72+12+25</f>
        <v>109</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3">
        <v>22</v>
      </c>
      <c r="C172" s="3">
        <v>18</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9" ht="15" thickBot="1" x14ac:dyDescent="0.35">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 thickTop="1" x14ac:dyDescent="0.3">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3">
      <c r="A179" s="14" t="s">
        <v>126</v>
      </c>
      <c r="B179" s="14"/>
      <c r="C179" s="14"/>
      <c r="D179" s="14"/>
      <c r="E179" s="14"/>
      <c r="F179" s="14"/>
      <c r="G179" s="14"/>
      <c r="H179" s="14"/>
      <c r="I179" s="14"/>
    </row>
    <row r="180" spans="1:9" x14ac:dyDescent="0.3">
      <c r="A180" s="27" t="s">
        <v>127</v>
      </c>
    </row>
    <row r="181" spans="1:9" x14ac:dyDescent="0.3">
      <c r="A181" s="32" t="s">
        <v>100</v>
      </c>
      <c r="B181" s="33">
        <v>0.12</v>
      </c>
      <c r="C181" s="33">
        <v>7.0000000000000007E-2</v>
      </c>
      <c r="D181" s="33">
        <v>0.03</v>
      </c>
      <c r="E181" s="33">
        <v>-0.02</v>
      </c>
      <c r="F181" s="33">
        <v>7.0000000000000007E-2</v>
      </c>
      <c r="G181" s="33">
        <v>-0.09</v>
      </c>
      <c r="H181" s="33">
        <v>0.19</v>
      </c>
      <c r="I181" s="33">
        <v>7.0000000000000007E-2</v>
      </c>
    </row>
    <row r="182" spans="1:9" x14ac:dyDescent="0.3">
      <c r="A182" s="30" t="s">
        <v>113</v>
      </c>
      <c r="B182" s="29">
        <v>0.14000000000000001</v>
      </c>
      <c r="C182" s="29">
        <v>0.09</v>
      </c>
      <c r="D182" s="29">
        <v>0.04</v>
      </c>
      <c r="E182" s="29">
        <v>-0.04</v>
      </c>
      <c r="F182" s="29">
        <v>0.08</v>
      </c>
      <c r="G182" s="29">
        <v>-7.0000000000000007E-2</v>
      </c>
      <c r="H182" s="29">
        <v>0.25</v>
      </c>
      <c r="I182" s="29">
        <v>0.05</v>
      </c>
    </row>
    <row r="183" spans="1:9" x14ac:dyDescent="0.3">
      <c r="A183" s="30" t="s">
        <v>114</v>
      </c>
      <c r="B183" s="29">
        <v>0.12</v>
      </c>
      <c r="C183" s="29">
        <v>0.08</v>
      </c>
      <c r="D183" s="29">
        <v>0.03</v>
      </c>
      <c r="E183" s="29">
        <v>0.01</v>
      </c>
      <c r="F183" s="29">
        <v>7.0000000000000007E-2</v>
      </c>
      <c r="G183" s="29">
        <v>-0.12</v>
      </c>
      <c r="H183" s="29">
        <v>0.08</v>
      </c>
      <c r="I183" s="29">
        <v>0.09</v>
      </c>
    </row>
    <row r="184" spans="1:9" x14ac:dyDescent="0.3">
      <c r="A184" s="30" t="s">
        <v>115</v>
      </c>
      <c r="B184" s="29">
        <v>-0.05</v>
      </c>
      <c r="C184" s="29">
        <v>-0.13</v>
      </c>
      <c r="D184" s="29">
        <v>-0.1</v>
      </c>
      <c r="E184" s="29">
        <v>-0.08</v>
      </c>
      <c r="F184" s="29">
        <v>0</v>
      </c>
      <c r="G184" s="29">
        <v>-0.14000000000000001</v>
      </c>
      <c r="H184" s="29">
        <v>-0.02</v>
      </c>
      <c r="I184" s="29">
        <v>0.25</v>
      </c>
    </row>
    <row r="185" spans="1:9" x14ac:dyDescent="0.3">
      <c r="A185" s="32" t="s">
        <v>101</v>
      </c>
      <c r="B185" s="33"/>
      <c r="C185" s="33"/>
      <c r="D185" s="33">
        <v>0.05</v>
      </c>
      <c r="E185" s="33">
        <v>0.09</v>
      </c>
      <c r="F185" s="33">
        <v>0.11</v>
      </c>
      <c r="G185" s="33">
        <v>-0.01</v>
      </c>
      <c r="H185" s="33">
        <v>0.17</v>
      </c>
      <c r="I185" s="33">
        <v>0.12</v>
      </c>
    </row>
    <row r="186" spans="1:9" x14ac:dyDescent="0.3">
      <c r="A186" s="30" t="s">
        <v>113</v>
      </c>
      <c r="B186" s="29"/>
      <c r="C186" s="29"/>
      <c r="D186" s="29">
        <v>0.03</v>
      </c>
      <c r="E186" s="29">
        <v>0.06</v>
      </c>
      <c r="F186" s="29">
        <v>0.12</v>
      </c>
      <c r="G186" s="29">
        <v>-0.03</v>
      </c>
      <c r="H186" s="29">
        <v>0.13</v>
      </c>
      <c r="I186" s="29">
        <v>0.09</v>
      </c>
    </row>
    <row r="187" spans="1:9" x14ac:dyDescent="0.3">
      <c r="A187" s="30" t="s">
        <v>114</v>
      </c>
      <c r="B187" s="29"/>
      <c r="C187" s="29"/>
      <c r="D187" s="29">
        <v>0.11</v>
      </c>
      <c r="E187" s="29">
        <v>0.16</v>
      </c>
      <c r="F187" s="29">
        <v>0.09</v>
      </c>
      <c r="G187" s="29">
        <v>0.02</v>
      </c>
      <c r="H187" s="29">
        <v>0.25</v>
      </c>
      <c r="I187" s="29">
        <v>0.16</v>
      </c>
    </row>
    <row r="188" spans="1:9" x14ac:dyDescent="0.3">
      <c r="A188" s="30" t="s">
        <v>115</v>
      </c>
      <c r="B188" s="29"/>
      <c r="C188" s="29"/>
      <c r="D188" s="29">
        <v>0.02</v>
      </c>
      <c r="E188" s="29">
        <v>0.06</v>
      </c>
      <c r="F188" s="29">
        <v>0.05</v>
      </c>
      <c r="G188" s="29">
        <v>-0.03</v>
      </c>
      <c r="H188" s="29">
        <v>0.19</v>
      </c>
      <c r="I188" s="29">
        <v>0.17</v>
      </c>
    </row>
    <row r="189" spans="1:9" x14ac:dyDescent="0.3">
      <c r="A189" s="32" t="s">
        <v>102</v>
      </c>
      <c r="B189" s="33">
        <v>0.19</v>
      </c>
      <c r="C189" s="33">
        <v>0.27</v>
      </c>
      <c r="D189" s="33">
        <v>0.17</v>
      </c>
      <c r="E189" s="33">
        <v>0.18</v>
      </c>
      <c r="F189" s="33">
        <v>0.24</v>
      </c>
      <c r="G189" s="33">
        <v>0.11</v>
      </c>
      <c r="H189" s="33">
        <v>0.19</v>
      </c>
      <c r="I189" s="33">
        <v>-0.13</v>
      </c>
    </row>
    <row r="190" spans="1:9" x14ac:dyDescent="0.3">
      <c r="A190" s="30" t="s">
        <v>113</v>
      </c>
      <c r="B190" s="29">
        <v>0.28000000000000003</v>
      </c>
      <c r="C190" s="29">
        <v>0.33</v>
      </c>
      <c r="D190" s="29">
        <v>0.18</v>
      </c>
      <c r="E190" s="29">
        <v>0.16</v>
      </c>
      <c r="F190" s="29">
        <v>0.25</v>
      </c>
      <c r="G190" s="29">
        <v>0.12</v>
      </c>
      <c r="H190" s="29">
        <v>0.19</v>
      </c>
      <c r="I190" s="29">
        <v>-0.1</v>
      </c>
    </row>
    <row r="191" spans="1:9" x14ac:dyDescent="0.3">
      <c r="A191" s="30" t="s">
        <v>114</v>
      </c>
      <c r="B191" s="29">
        <v>7.0000000000000007E-2</v>
      </c>
      <c r="C191" s="29">
        <v>0.17</v>
      </c>
      <c r="D191" s="29">
        <v>0.18</v>
      </c>
      <c r="E191" s="29">
        <v>0.23</v>
      </c>
      <c r="F191" s="29">
        <v>0.23</v>
      </c>
      <c r="G191" s="29">
        <v>0.08</v>
      </c>
      <c r="H191" s="29">
        <v>0.19</v>
      </c>
      <c r="I191" s="29">
        <v>-0.21</v>
      </c>
    </row>
    <row r="192" spans="1:9" x14ac:dyDescent="0.3">
      <c r="A192" s="30" t="s">
        <v>115</v>
      </c>
      <c r="B192" s="29">
        <v>0.01</v>
      </c>
      <c r="C192" s="29">
        <v>7.0000000000000007E-2</v>
      </c>
      <c r="D192" s="29">
        <v>0.03</v>
      </c>
      <c r="E192" s="29">
        <v>-0.01</v>
      </c>
      <c r="F192" s="29">
        <v>0.08</v>
      </c>
      <c r="G192" s="29">
        <v>0.11</v>
      </c>
      <c r="H192" s="29">
        <v>0.26</v>
      </c>
      <c r="I192" s="29">
        <v>-0.06</v>
      </c>
    </row>
    <row r="193" spans="1:9" x14ac:dyDescent="0.3">
      <c r="A193" s="52" t="s">
        <v>142</v>
      </c>
      <c r="B193" s="53">
        <v>0.21</v>
      </c>
      <c r="C193" s="53">
        <v>0.14000000000000001</v>
      </c>
      <c r="D193" s="53"/>
      <c r="E193" s="29"/>
      <c r="F193" s="29"/>
      <c r="G193" s="29"/>
      <c r="H193" s="29"/>
      <c r="I193" s="29"/>
    </row>
    <row r="194" spans="1:9" x14ac:dyDescent="0.3">
      <c r="A194" s="54" t="s">
        <v>113</v>
      </c>
      <c r="B194" s="53">
        <v>0.25</v>
      </c>
      <c r="C194" s="53">
        <v>0.14000000000000001</v>
      </c>
      <c r="D194" s="53"/>
      <c r="E194" s="29"/>
      <c r="F194" s="29"/>
      <c r="G194" s="29"/>
      <c r="H194" s="29"/>
      <c r="I194" s="29"/>
    </row>
    <row r="195" spans="1:9" x14ac:dyDescent="0.3">
      <c r="A195" s="54" t="s">
        <v>114</v>
      </c>
      <c r="B195" s="53">
        <v>0.14000000000000001</v>
      </c>
      <c r="C195" s="53">
        <v>0.16</v>
      </c>
      <c r="D195" s="53"/>
      <c r="E195" s="29"/>
      <c r="F195" s="29"/>
      <c r="G195" s="29"/>
      <c r="H195" s="29"/>
      <c r="I195" s="29"/>
    </row>
    <row r="196" spans="1:9" x14ac:dyDescent="0.3">
      <c r="A196" s="54" t="s">
        <v>115</v>
      </c>
      <c r="B196" s="53">
        <v>0.15</v>
      </c>
      <c r="C196" s="53">
        <v>0.08</v>
      </c>
      <c r="D196" s="53"/>
      <c r="E196" s="29"/>
      <c r="F196" s="29"/>
      <c r="G196" s="29"/>
      <c r="H196" s="29"/>
      <c r="I196" s="29"/>
    </row>
    <row r="197" spans="1:9" x14ac:dyDescent="0.3">
      <c r="A197" s="52" t="s">
        <v>143</v>
      </c>
      <c r="B197" s="53">
        <v>0.15</v>
      </c>
      <c r="C197" s="53">
        <v>0.17</v>
      </c>
      <c r="D197" s="53"/>
      <c r="E197" s="29"/>
      <c r="F197" s="29"/>
      <c r="G197" s="29"/>
      <c r="H197" s="29"/>
      <c r="I197" s="29"/>
    </row>
    <row r="198" spans="1:9" x14ac:dyDescent="0.3">
      <c r="A198" s="54" t="s">
        <v>113</v>
      </c>
      <c r="B198" s="53">
        <v>0.22</v>
      </c>
      <c r="C198" s="53">
        <v>0.23</v>
      </c>
      <c r="D198" s="53"/>
      <c r="E198" s="29"/>
      <c r="F198" s="29"/>
      <c r="G198" s="29"/>
      <c r="H198" s="29"/>
      <c r="I198" s="29"/>
    </row>
    <row r="199" spans="1:9" x14ac:dyDescent="0.3">
      <c r="A199" s="54" t="s">
        <v>114</v>
      </c>
      <c r="B199" s="53">
        <v>0.05</v>
      </c>
      <c r="C199" s="53">
        <v>0.09</v>
      </c>
      <c r="D199" s="53"/>
      <c r="E199" s="29"/>
      <c r="F199" s="29"/>
      <c r="G199" s="29"/>
      <c r="H199" s="29"/>
      <c r="I199" s="29"/>
    </row>
    <row r="200" spans="1:9" x14ac:dyDescent="0.3">
      <c r="A200" s="54" t="s">
        <v>115</v>
      </c>
      <c r="B200" s="53">
        <v>0.14000000000000001</v>
      </c>
      <c r="C200" s="53">
        <v>7.0000000000000007E-2</v>
      </c>
      <c r="D200" s="53"/>
      <c r="E200" s="29"/>
      <c r="F200" s="29"/>
      <c r="G200" s="29"/>
      <c r="H200" s="29"/>
      <c r="I200" s="29"/>
    </row>
    <row r="201" spans="1:9" x14ac:dyDescent="0.3">
      <c r="A201" s="52" t="s">
        <v>144</v>
      </c>
      <c r="B201" s="53">
        <v>0.08</v>
      </c>
      <c r="C201" s="53">
        <v>0.13</v>
      </c>
      <c r="D201" s="53"/>
      <c r="E201" s="29"/>
      <c r="F201" s="29"/>
      <c r="G201" s="29"/>
      <c r="H201" s="29"/>
      <c r="I201" s="29"/>
    </row>
    <row r="202" spans="1:9" x14ac:dyDescent="0.3">
      <c r="A202" s="54" t="s">
        <v>113</v>
      </c>
      <c r="B202" s="53">
        <v>0.09</v>
      </c>
      <c r="C202" s="53">
        <v>0.14000000000000001</v>
      </c>
      <c r="D202" s="53"/>
      <c r="E202" s="29"/>
      <c r="F202" s="29"/>
      <c r="G202" s="29"/>
      <c r="H202" s="29"/>
      <c r="I202" s="29"/>
    </row>
    <row r="203" spans="1:9" x14ac:dyDescent="0.3">
      <c r="A203" s="54" t="s">
        <v>114</v>
      </c>
      <c r="B203" s="53">
        <v>0.05</v>
      </c>
      <c r="C203" s="53">
        <v>0.11</v>
      </c>
      <c r="D203" s="53"/>
      <c r="E203" s="29"/>
      <c r="F203" s="29"/>
      <c r="G203" s="29"/>
      <c r="H203" s="29"/>
      <c r="I203" s="29"/>
    </row>
    <row r="204" spans="1:9" x14ac:dyDescent="0.3">
      <c r="A204" s="54" t="s">
        <v>115</v>
      </c>
      <c r="B204" s="53">
        <v>0.05</v>
      </c>
      <c r="C204" s="53">
        <v>0.11</v>
      </c>
      <c r="D204" s="53"/>
      <c r="E204" s="29"/>
      <c r="F204" s="29"/>
      <c r="G204" s="29"/>
      <c r="H204" s="29"/>
      <c r="I204" s="29"/>
    </row>
    <row r="205" spans="1:9" x14ac:dyDescent="0.3">
      <c r="A205" s="32" t="s">
        <v>106</v>
      </c>
      <c r="B205" s="33">
        <v>0.09</v>
      </c>
      <c r="C205" s="33">
        <v>0.22</v>
      </c>
      <c r="D205" s="33">
        <v>7.0000000000000007E-2</v>
      </c>
      <c r="E205" s="33">
        <v>0.1</v>
      </c>
      <c r="F205" s="33">
        <v>0.13</v>
      </c>
      <c r="G205" s="33">
        <v>0.01</v>
      </c>
      <c r="H205" s="33">
        <v>0.08</v>
      </c>
      <c r="I205" s="33">
        <v>0.16</v>
      </c>
    </row>
    <row r="206" spans="1:9" x14ac:dyDescent="0.3">
      <c r="A206" s="30" t="s">
        <v>113</v>
      </c>
      <c r="B206" s="29">
        <v>0.23</v>
      </c>
      <c r="C206" s="29">
        <v>0.34</v>
      </c>
      <c r="D206" s="29">
        <v>7.0000000000000007E-2</v>
      </c>
      <c r="E206" s="29">
        <v>0.09</v>
      </c>
      <c r="F206" s="29">
        <v>0.12</v>
      </c>
      <c r="G206" s="29">
        <v>0</v>
      </c>
      <c r="H206" s="29">
        <v>0.08</v>
      </c>
      <c r="I206" s="29">
        <v>0.17</v>
      </c>
    </row>
    <row r="207" spans="1:9" x14ac:dyDescent="0.3">
      <c r="A207" s="30" t="s">
        <v>114</v>
      </c>
      <c r="B207" s="29">
        <v>-0.08</v>
      </c>
      <c r="C207" s="29">
        <v>0.05</v>
      </c>
      <c r="D207" s="29">
        <v>0.1</v>
      </c>
      <c r="E207" s="29">
        <v>0.15</v>
      </c>
      <c r="F207" s="29">
        <v>0.15</v>
      </c>
      <c r="G207" s="29">
        <v>0.03</v>
      </c>
      <c r="H207" s="29">
        <v>0.1</v>
      </c>
      <c r="I207" s="29">
        <v>0.12</v>
      </c>
    </row>
    <row r="208" spans="1:9" x14ac:dyDescent="0.3">
      <c r="A208" s="30" t="s">
        <v>115</v>
      </c>
      <c r="B208" s="29">
        <v>-0.06</v>
      </c>
      <c r="C208" s="29">
        <v>0.03</v>
      </c>
      <c r="D208" s="29">
        <v>-0.06</v>
      </c>
      <c r="E208" s="29">
        <v>-0.08</v>
      </c>
      <c r="F208" s="29">
        <v>0.08</v>
      </c>
      <c r="G208" s="29">
        <v>-0.04</v>
      </c>
      <c r="H208" s="29">
        <v>-0.09</v>
      </c>
      <c r="I208" s="29">
        <v>0.28000000000000003</v>
      </c>
    </row>
    <row r="209" spans="1:9" x14ac:dyDescent="0.3">
      <c r="A209" s="32" t="s">
        <v>107</v>
      </c>
      <c r="B209" s="33">
        <v>-0.02</v>
      </c>
      <c r="C209" s="33">
        <v>-0.3</v>
      </c>
      <c r="D209" s="33">
        <v>0.02</v>
      </c>
      <c r="E209" s="33">
        <v>0.12</v>
      </c>
      <c r="F209" s="33">
        <v>-0.53</v>
      </c>
      <c r="G209" s="33">
        <v>-0.26</v>
      </c>
      <c r="H209" s="33">
        <v>-0.17</v>
      </c>
      <c r="I209" s="33">
        <v>3.02</v>
      </c>
    </row>
    <row r="210" spans="1:9" x14ac:dyDescent="0.3">
      <c r="A210" s="34" t="s">
        <v>103</v>
      </c>
      <c r="B210" s="36">
        <v>0.14000000000000001</v>
      </c>
      <c r="C210" s="36">
        <v>0.13</v>
      </c>
      <c r="D210" s="36">
        <v>0.08</v>
      </c>
      <c r="E210" s="36">
        <v>0.05</v>
      </c>
      <c r="F210" s="36">
        <v>0.11</v>
      </c>
      <c r="G210" s="36">
        <v>-0.02</v>
      </c>
      <c r="H210" s="36">
        <v>0.17</v>
      </c>
      <c r="I210" s="36">
        <v>0.06</v>
      </c>
    </row>
    <row r="211" spans="1:9" x14ac:dyDescent="0.3">
      <c r="A211" s="32" t="s">
        <v>104</v>
      </c>
      <c r="B211" s="33">
        <v>0.21</v>
      </c>
      <c r="C211" s="33">
        <v>0.02</v>
      </c>
      <c r="D211" s="33">
        <v>0.06</v>
      </c>
      <c r="E211" s="33">
        <v>-0.11</v>
      </c>
      <c r="F211" s="33">
        <v>-0.03</v>
      </c>
      <c r="G211" s="33">
        <v>-0.01</v>
      </c>
      <c r="H211" s="33">
        <v>0.16</v>
      </c>
      <c r="I211" s="33">
        <v>7.0000000000000007E-2</v>
      </c>
    </row>
    <row r="212" spans="1:9" x14ac:dyDescent="0.3">
      <c r="A212" s="30" t="s">
        <v>113</v>
      </c>
      <c r="B212" s="29"/>
      <c r="C212" s="29"/>
      <c r="D212" s="29"/>
      <c r="E212" s="29"/>
      <c r="F212" s="29"/>
      <c r="G212" s="29">
        <v>0.01</v>
      </c>
      <c r="H212" s="29">
        <v>0.17</v>
      </c>
      <c r="I212" s="29">
        <v>0.06</v>
      </c>
    </row>
    <row r="213" spans="1:9" x14ac:dyDescent="0.3">
      <c r="A213" s="30" t="s">
        <v>114</v>
      </c>
      <c r="B213" s="29"/>
      <c r="C213" s="29"/>
      <c r="D213" s="29"/>
      <c r="E213" s="29"/>
      <c r="F213" s="29"/>
      <c r="G213" s="29">
        <v>-0.22</v>
      </c>
      <c r="H213" s="29">
        <v>0.13</v>
      </c>
      <c r="I213" s="29">
        <v>-0.03</v>
      </c>
    </row>
    <row r="214" spans="1:9" x14ac:dyDescent="0.3">
      <c r="A214" s="30" t="s">
        <v>115</v>
      </c>
      <c r="B214" s="29"/>
      <c r="C214" s="29"/>
      <c r="D214" s="29"/>
      <c r="E214" s="29"/>
      <c r="F214" s="29"/>
      <c r="G214" s="29">
        <v>0.08</v>
      </c>
      <c r="H214" s="29">
        <v>0.14000000000000001</v>
      </c>
      <c r="I214" s="29">
        <v>-0.16</v>
      </c>
    </row>
    <row r="215" spans="1:9" x14ac:dyDescent="0.3">
      <c r="A215" s="30" t="s">
        <v>121</v>
      </c>
      <c r="B215" s="29"/>
      <c r="C215" s="29"/>
      <c r="D215" s="29"/>
      <c r="E215" s="29"/>
      <c r="F215" s="29"/>
      <c r="G215" s="29">
        <v>-0.14000000000000001</v>
      </c>
      <c r="H215" s="29">
        <v>-0.01</v>
      </c>
      <c r="I215" s="29">
        <v>0.42</v>
      </c>
    </row>
    <row r="216" spans="1:9" x14ac:dyDescent="0.3">
      <c r="A216" s="28" t="s">
        <v>108</v>
      </c>
      <c r="B216" s="29">
        <v>0</v>
      </c>
      <c r="C216" s="29">
        <v>0</v>
      </c>
      <c r="D216" s="29">
        <v>0</v>
      </c>
      <c r="E216" s="29">
        <v>0</v>
      </c>
      <c r="F216" s="29">
        <v>0</v>
      </c>
      <c r="G216" s="29">
        <v>0</v>
      </c>
      <c r="H216" s="29">
        <v>0</v>
      </c>
      <c r="I216" s="29">
        <v>0</v>
      </c>
    </row>
    <row r="217" spans="1:9" ht="15" thickBot="1" x14ac:dyDescent="0.35">
      <c r="A217" s="31" t="s">
        <v>105</v>
      </c>
      <c r="B217" s="35">
        <v>0.14000000000000001</v>
      </c>
      <c r="C217" s="35">
        <v>0.12</v>
      </c>
      <c r="D217" s="35">
        <v>0.08</v>
      </c>
      <c r="E217" s="35">
        <v>0.04</v>
      </c>
      <c r="F217" s="35">
        <v>0.11</v>
      </c>
      <c r="G217" s="35">
        <v>-0.02</v>
      </c>
      <c r="H217" s="55">
        <v>0.17</v>
      </c>
      <c r="I217" s="35">
        <v>0.06</v>
      </c>
    </row>
    <row r="218" spans="1:9" ht="15" thickTop="1" x14ac:dyDescent="0.3"/>
    <row r="220" spans="1:9" x14ac:dyDescent="0.3">
      <c r="A220" s="27" t="s">
        <v>145</v>
      </c>
    </row>
    <row r="221" spans="1:9" x14ac:dyDescent="0.3">
      <c r="A221" s="32" t="s">
        <v>100</v>
      </c>
      <c r="B221" s="33">
        <v>0.12</v>
      </c>
      <c r="C221" s="33">
        <v>7.0000000000000007E-2</v>
      </c>
      <c r="D221" s="33">
        <v>0.03</v>
      </c>
      <c r="E221" s="33">
        <v>-0.02</v>
      </c>
      <c r="F221" s="33">
        <v>7.0000000000000007E-2</v>
      </c>
      <c r="G221" s="33">
        <v>-0.09</v>
      </c>
      <c r="H221" s="33">
        <v>0.19</v>
      </c>
      <c r="I221" s="33">
        <v>7.0000000000000007E-2</v>
      </c>
    </row>
    <row r="222" spans="1:9" x14ac:dyDescent="0.3">
      <c r="A222" s="30" t="s">
        <v>113</v>
      </c>
      <c r="B222" s="29">
        <v>0.14000000000000001</v>
      </c>
      <c r="C222" s="29">
        <v>0.09</v>
      </c>
      <c r="D222" s="29">
        <v>0.04</v>
      </c>
      <c r="E222" s="29">
        <v>-0.04</v>
      </c>
      <c r="F222" s="29">
        <v>0.08</v>
      </c>
      <c r="G222" s="29">
        <v>-7.0000000000000007E-2</v>
      </c>
      <c r="H222" s="29">
        <v>0.25</v>
      </c>
      <c r="I222" s="29">
        <v>0.05</v>
      </c>
    </row>
    <row r="223" spans="1:9" x14ac:dyDescent="0.3">
      <c r="A223" s="30" t="s">
        <v>114</v>
      </c>
      <c r="B223" s="29">
        <v>0.12</v>
      </c>
      <c r="C223" s="29">
        <v>0.08</v>
      </c>
      <c r="D223" s="29">
        <v>0.03</v>
      </c>
      <c r="E223" s="29">
        <v>0.01</v>
      </c>
      <c r="F223" s="29">
        <v>7.0000000000000007E-2</v>
      </c>
      <c r="G223" s="29">
        <v>-0.12</v>
      </c>
      <c r="H223" s="29">
        <v>0.08</v>
      </c>
      <c r="I223" s="29">
        <v>0.09</v>
      </c>
    </row>
    <row r="224" spans="1:9" x14ac:dyDescent="0.3">
      <c r="A224" s="30" t="s">
        <v>115</v>
      </c>
      <c r="B224" s="29">
        <v>-0.05</v>
      </c>
      <c r="C224" s="29">
        <v>-0.13</v>
      </c>
      <c r="D224" s="29">
        <v>-0.1</v>
      </c>
      <c r="E224" s="29">
        <v>-0.08</v>
      </c>
      <c r="F224" s="29">
        <v>0</v>
      </c>
      <c r="G224" s="29">
        <v>-0.14000000000000001</v>
      </c>
      <c r="H224" s="29">
        <v>-0.02</v>
      </c>
      <c r="I224" s="29">
        <v>0.25</v>
      </c>
    </row>
    <row r="225" spans="1:9" x14ac:dyDescent="0.3">
      <c r="A225" s="32" t="s">
        <v>101</v>
      </c>
      <c r="B225" s="33"/>
      <c r="C225" s="33"/>
      <c r="D225" s="33">
        <v>0.05</v>
      </c>
      <c r="E225" s="33">
        <v>0.16</v>
      </c>
      <c r="F225" s="33">
        <v>0.06</v>
      </c>
      <c r="G225" s="33">
        <v>-0.05</v>
      </c>
      <c r="H225" s="33">
        <v>0.23</v>
      </c>
      <c r="I225" s="33">
        <v>0.09</v>
      </c>
    </row>
    <row r="226" spans="1:9" x14ac:dyDescent="0.3">
      <c r="A226" s="30" t="s">
        <v>113</v>
      </c>
      <c r="B226" s="29"/>
      <c r="C226" s="29"/>
      <c r="D226" s="29">
        <v>0.03</v>
      </c>
      <c r="E226" s="29">
        <v>0.13</v>
      </c>
      <c r="F226" s="29">
        <v>7.0000000000000007E-2</v>
      </c>
      <c r="G226" s="29">
        <v>-0.06</v>
      </c>
      <c r="H226" s="29">
        <v>0.18</v>
      </c>
      <c r="I226" s="29">
        <v>0.06</v>
      </c>
    </row>
    <row r="227" spans="1:9" x14ac:dyDescent="0.3">
      <c r="A227" s="30" t="s">
        <v>114</v>
      </c>
      <c r="B227" s="29"/>
      <c r="C227" s="29"/>
      <c r="D227" s="29">
        <v>0.11</v>
      </c>
      <c r="E227" s="29">
        <v>0.23</v>
      </c>
      <c r="F227" s="29">
        <v>0.05</v>
      </c>
      <c r="G227" s="29">
        <v>-0.01</v>
      </c>
      <c r="H227" s="29">
        <v>0.31</v>
      </c>
      <c r="I227" s="29">
        <v>0.13</v>
      </c>
    </row>
    <row r="228" spans="1:9" x14ac:dyDescent="0.3">
      <c r="A228" s="30" t="s">
        <v>115</v>
      </c>
      <c r="B228" s="29"/>
      <c r="C228" s="29"/>
      <c r="D228" s="29">
        <v>0.02</v>
      </c>
      <c r="E228" s="29">
        <v>0.11</v>
      </c>
      <c r="F228" s="29">
        <v>0.01</v>
      </c>
      <c r="G228" s="29">
        <v>-7.0000000000000007E-2</v>
      </c>
      <c r="H228" s="29">
        <v>0.22</v>
      </c>
      <c r="I228" s="29">
        <v>0.15</v>
      </c>
    </row>
    <row r="229" spans="1:9" x14ac:dyDescent="0.3">
      <c r="A229" s="32" t="s">
        <v>102</v>
      </c>
      <c r="B229" s="33">
        <v>0.18</v>
      </c>
      <c r="C229" s="33">
        <v>0.23</v>
      </c>
      <c r="D229" s="33">
        <v>0.12</v>
      </c>
      <c r="E229" s="33">
        <v>0.21</v>
      </c>
      <c r="F229" s="33">
        <v>0.21</v>
      </c>
      <c r="G229" s="33">
        <v>0.08</v>
      </c>
      <c r="H229" s="33">
        <v>0.24</v>
      </c>
      <c r="I229" s="33">
        <v>-0.09</v>
      </c>
    </row>
    <row r="230" spans="1:9" x14ac:dyDescent="0.3">
      <c r="A230" s="30" t="s">
        <v>113</v>
      </c>
      <c r="B230" s="29">
        <v>0.26</v>
      </c>
      <c r="C230" s="29">
        <v>0.28999999999999998</v>
      </c>
      <c r="D230" s="29">
        <v>0.12</v>
      </c>
      <c r="E230" s="29">
        <v>0.2</v>
      </c>
      <c r="F230" s="29">
        <v>0.22</v>
      </c>
      <c r="G230" s="29">
        <v>0.09</v>
      </c>
      <c r="H230" s="29">
        <v>0.24</v>
      </c>
      <c r="I230" s="29">
        <v>-0.06</v>
      </c>
    </row>
    <row r="231" spans="1:9" x14ac:dyDescent="0.3">
      <c r="A231" s="30" t="s">
        <v>114</v>
      </c>
      <c r="B231" s="29">
        <v>0.06</v>
      </c>
      <c r="C231" s="29">
        <v>0.14000000000000001</v>
      </c>
      <c r="D231" s="29">
        <v>0.13</v>
      </c>
      <c r="E231" s="29">
        <v>0.27</v>
      </c>
      <c r="F231" s="29">
        <v>0.2</v>
      </c>
      <c r="G231" s="29">
        <v>0.05</v>
      </c>
      <c r="H231" s="29">
        <v>0.24</v>
      </c>
      <c r="I231" s="29">
        <v>-0.17</v>
      </c>
    </row>
    <row r="232" spans="1:9" x14ac:dyDescent="0.3">
      <c r="A232" s="30" t="s">
        <v>115</v>
      </c>
      <c r="B232" s="29">
        <v>0</v>
      </c>
      <c r="C232" s="29">
        <v>0.04</v>
      </c>
      <c r="D232" s="29">
        <v>-0.02</v>
      </c>
      <c r="E232" s="29">
        <v>0.01</v>
      </c>
      <c r="F232" s="29">
        <v>0.06</v>
      </c>
      <c r="G232" s="29">
        <v>7.0000000000000007E-2</v>
      </c>
      <c r="H232" s="29">
        <v>0.32</v>
      </c>
      <c r="I232" s="29">
        <v>-0.01</v>
      </c>
    </row>
    <row r="233" spans="1:9" x14ac:dyDescent="0.3">
      <c r="A233" s="52" t="s">
        <v>142</v>
      </c>
      <c r="B233" s="53">
        <v>0.15</v>
      </c>
      <c r="C233" s="53">
        <v>0.03</v>
      </c>
      <c r="D233" s="53"/>
      <c r="E233" s="29"/>
      <c r="F233" s="29"/>
      <c r="G233" s="29"/>
      <c r="H233" s="29"/>
      <c r="I233" s="29"/>
    </row>
    <row r="234" spans="1:9" x14ac:dyDescent="0.3">
      <c r="A234" s="54" t="s">
        <v>113</v>
      </c>
      <c r="B234" s="53">
        <v>0.17</v>
      </c>
      <c r="C234" s="53">
        <v>0.03</v>
      </c>
      <c r="D234" s="53"/>
      <c r="E234" s="29"/>
      <c r="F234" s="29"/>
      <c r="G234" s="29"/>
      <c r="H234" s="29"/>
      <c r="I234" s="29"/>
    </row>
    <row r="235" spans="1:9" x14ac:dyDescent="0.3">
      <c r="A235" s="54" t="s">
        <v>114</v>
      </c>
      <c r="B235" s="53">
        <v>0.09</v>
      </c>
      <c r="C235" s="53">
        <v>0.05</v>
      </c>
      <c r="D235" s="53"/>
      <c r="E235" s="29"/>
      <c r="F235" s="29"/>
      <c r="G235" s="29"/>
      <c r="H235" s="29"/>
      <c r="I235" s="29"/>
    </row>
    <row r="236" spans="1:9" x14ac:dyDescent="0.3">
      <c r="A236" s="54" t="s">
        <v>115</v>
      </c>
      <c r="B236" s="53">
        <v>0.09</v>
      </c>
      <c r="C236" s="53">
        <v>-0.02</v>
      </c>
      <c r="D236" s="53"/>
      <c r="E236" s="29"/>
      <c r="F236" s="29"/>
      <c r="G236" s="29"/>
      <c r="H236" s="29"/>
      <c r="I236" s="29"/>
    </row>
    <row r="237" spans="1:9" x14ac:dyDescent="0.3">
      <c r="A237" s="52" t="s">
        <v>143</v>
      </c>
      <c r="B237" s="53">
        <v>0.02</v>
      </c>
      <c r="C237" s="53">
        <v>0.01</v>
      </c>
      <c r="D237" s="53"/>
      <c r="E237" s="29"/>
      <c r="F237" s="29"/>
      <c r="G237" s="29"/>
      <c r="H237" s="29"/>
      <c r="I237" s="29"/>
    </row>
    <row r="238" spans="1:9" x14ac:dyDescent="0.3">
      <c r="A238" s="54" t="s">
        <v>113</v>
      </c>
      <c r="B238" s="53">
        <v>0.08</v>
      </c>
      <c r="C238" s="53">
        <v>7.0000000000000007E-2</v>
      </c>
      <c r="D238" s="53"/>
      <c r="E238" s="29"/>
      <c r="F238" s="29"/>
      <c r="G238" s="29"/>
      <c r="H238" s="29"/>
      <c r="I238" s="29"/>
    </row>
    <row r="239" spans="1:9" x14ac:dyDescent="0.3">
      <c r="A239" s="54" t="s">
        <v>114</v>
      </c>
      <c r="B239" s="53">
        <v>-0.06</v>
      </c>
      <c r="C239" s="53">
        <v>-7.0000000000000007E-2</v>
      </c>
      <c r="D239" s="53"/>
      <c r="E239" s="29"/>
      <c r="F239" s="29"/>
      <c r="G239" s="29"/>
      <c r="H239" s="29"/>
      <c r="I239" s="29"/>
    </row>
    <row r="240" spans="1:9" x14ac:dyDescent="0.3">
      <c r="A240" s="54" t="s">
        <v>115</v>
      </c>
      <c r="B240" s="53">
        <v>0.03</v>
      </c>
      <c r="C240" s="53">
        <v>-0.09</v>
      </c>
      <c r="D240" s="53"/>
      <c r="E240" s="29"/>
      <c r="F240" s="29"/>
      <c r="G240" s="29"/>
      <c r="H240" s="29"/>
      <c r="I240" s="29"/>
    </row>
    <row r="241" spans="1:9" x14ac:dyDescent="0.3">
      <c r="A241" s="52" t="s">
        <v>144</v>
      </c>
      <c r="B241" s="53">
        <v>-0.01</v>
      </c>
      <c r="C241" s="53">
        <v>-0.05</v>
      </c>
      <c r="D241" s="53"/>
      <c r="E241" s="29"/>
      <c r="F241" s="29"/>
      <c r="G241" s="29"/>
      <c r="H241" s="29"/>
      <c r="I241" s="29"/>
    </row>
    <row r="242" spans="1:9" x14ac:dyDescent="0.3">
      <c r="A242" s="54" t="s">
        <v>113</v>
      </c>
      <c r="B242" s="53">
        <v>0</v>
      </c>
      <c r="C242" s="53">
        <v>-0.04</v>
      </c>
      <c r="D242" s="53"/>
      <c r="E242" s="29"/>
      <c r="F242" s="29"/>
      <c r="G242" s="29"/>
      <c r="H242" s="29"/>
      <c r="I242" s="29"/>
    </row>
    <row r="243" spans="1:9" x14ac:dyDescent="0.3">
      <c r="A243" s="54" t="s">
        <v>114</v>
      </c>
      <c r="B243" s="53">
        <v>-0.04</v>
      </c>
      <c r="C243" s="53">
        <v>-7.0000000000000007E-2</v>
      </c>
      <c r="D243" s="53"/>
      <c r="E243" s="29"/>
      <c r="F243" s="29"/>
      <c r="G243" s="29"/>
      <c r="H243" s="29"/>
      <c r="I243" s="29"/>
    </row>
    <row r="244" spans="1:9" x14ac:dyDescent="0.3">
      <c r="A244" s="54" t="s">
        <v>115</v>
      </c>
      <c r="B244" s="53">
        <v>-0.04</v>
      </c>
      <c r="C244" s="53">
        <v>-0.08</v>
      </c>
      <c r="D244" s="53"/>
      <c r="E244" s="29"/>
      <c r="F244" s="29"/>
      <c r="G244" s="29"/>
      <c r="H244" s="29"/>
      <c r="I244" s="29"/>
    </row>
    <row r="245" spans="1:9" x14ac:dyDescent="0.3">
      <c r="A245" s="32" t="s">
        <v>106</v>
      </c>
      <c r="B245" s="33">
        <v>-0.02</v>
      </c>
      <c r="C245" s="33">
        <v>0.15</v>
      </c>
      <c r="D245" s="33">
        <v>0.1</v>
      </c>
      <c r="E245" s="33">
        <v>0.09</v>
      </c>
      <c r="F245" s="33">
        <v>0.02</v>
      </c>
      <c r="G245" s="33">
        <v>-0.04</v>
      </c>
      <c r="H245" s="33">
        <v>0.06</v>
      </c>
      <c r="I245" s="33">
        <v>0.11</v>
      </c>
    </row>
    <row r="246" spans="1:9" x14ac:dyDescent="0.3">
      <c r="A246" s="30" t="s">
        <v>113</v>
      </c>
      <c r="B246" s="29">
        <v>0.11</v>
      </c>
      <c r="C246" s="29">
        <v>0.26</v>
      </c>
      <c r="D246" s="29">
        <v>0.12</v>
      </c>
      <c r="E246" s="29">
        <v>0.09</v>
      </c>
      <c r="F246" s="29">
        <v>0.01</v>
      </c>
      <c r="G246" s="29">
        <v>-0.05</v>
      </c>
      <c r="H246" s="29">
        <v>0.06</v>
      </c>
      <c r="I246" s="29">
        <v>0.12</v>
      </c>
    </row>
    <row r="247" spans="1:9" x14ac:dyDescent="0.3">
      <c r="A247" s="30" t="s">
        <v>114</v>
      </c>
      <c r="B247" s="29">
        <v>-0.17</v>
      </c>
      <c r="C247" s="29">
        <v>-0.01</v>
      </c>
      <c r="D247" s="29">
        <v>0.06</v>
      </c>
      <c r="E247" s="29">
        <v>0.14000000000000001</v>
      </c>
      <c r="F247" s="29">
        <v>0.04</v>
      </c>
      <c r="G247" s="29">
        <v>-0.02</v>
      </c>
      <c r="H247" s="29">
        <v>0.09</v>
      </c>
      <c r="I247" s="29">
        <v>0.08</v>
      </c>
    </row>
    <row r="248" spans="1:9" x14ac:dyDescent="0.3">
      <c r="A248" s="30" t="s">
        <v>115</v>
      </c>
      <c r="B248" s="29">
        <v>-0.15</v>
      </c>
      <c r="C248" s="29">
        <v>-0.03</v>
      </c>
      <c r="D248" s="29">
        <v>-0.01</v>
      </c>
      <c r="E248" s="29">
        <v>-0.09</v>
      </c>
      <c r="F248" s="29">
        <v>-0.03</v>
      </c>
      <c r="G248" s="29">
        <v>-0.1</v>
      </c>
      <c r="H248" s="29">
        <v>-0.11</v>
      </c>
      <c r="I248" s="29">
        <v>0.23</v>
      </c>
    </row>
    <row r="249" spans="1:9" x14ac:dyDescent="0.3">
      <c r="A249" s="32" t="s">
        <v>107</v>
      </c>
      <c r="B249" s="33">
        <v>-0.08</v>
      </c>
      <c r="C249" s="33">
        <v>-0.37</v>
      </c>
      <c r="D249" s="33">
        <v>0</v>
      </c>
      <c r="E249" s="33">
        <v>0.21</v>
      </c>
      <c r="F249" s="33">
        <v>-0.52</v>
      </c>
      <c r="G249" s="33">
        <v>-0.28999999999999998</v>
      </c>
      <c r="H249" s="33">
        <v>-0.17</v>
      </c>
      <c r="I249" s="33">
        <v>3.08</v>
      </c>
    </row>
    <row r="250" spans="1:9" x14ac:dyDescent="0.3">
      <c r="A250" s="34" t="s">
        <v>103</v>
      </c>
      <c r="B250" s="56">
        <v>0.1</v>
      </c>
      <c r="C250" s="56">
        <v>0.06</v>
      </c>
      <c r="D250" s="56">
        <v>0.06</v>
      </c>
      <c r="E250" s="56">
        <v>7.0000000000000007E-2</v>
      </c>
      <c r="F250" s="56">
        <v>0.08</v>
      </c>
      <c r="G250" s="56">
        <v>-0.04</v>
      </c>
      <c r="H250" s="56">
        <v>0.17</v>
      </c>
      <c r="I250" s="56">
        <v>0.05</v>
      </c>
    </row>
    <row r="251" spans="1:9" x14ac:dyDescent="0.3">
      <c r="A251" s="32" t="s">
        <v>104</v>
      </c>
      <c r="B251" s="33">
        <v>0.18</v>
      </c>
      <c r="C251" s="33">
        <v>-0.01</v>
      </c>
      <c r="D251" s="33">
        <v>0.04</v>
      </c>
      <c r="E251" s="33">
        <v>-0.08</v>
      </c>
      <c r="F251" s="29">
        <v>0.01</v>
      </c>
      <c r="G251" s="33">
        <v>-0.03</v>
      </c>
      <c r="H251" s="33">
        <v>0.19</v>
      </c>
      <c r="I251" s="33">
        <v>0.06</v>
      </c>
    </row>
    <row r="252" spans="1:9" x14ac:dyDescent="0.3">
      <c r="A252" s="30" t="s">
        <v>113</v>
      </c>
      <c r="B252" s="29"/>
      <c r="C252" s="29"/>
      <c r="D252" s="29"/>
      <c r="E252" s="29"/>
      <c r="F252" s="29">
        <v>0.03</v>
      </c>
      <c r="G252" s="29">
        <v>-0.01</v>
      </c>
      <c r="H252" s="29">
        <v>0.21</v>
      </c>
      <c r="I252" s="29">
        <v>0.05</v>
      </c>
    </row>
    <row r="253" spans="1:9" x14ac:dyDescent="0.3">
      <c r="A253" s="30" t="s">
        <v>114</v>
      </c>
      <c r="B253" s="29"/>
      <c r="C253" s="29"/>
      <c r="D253" s="29"/>
      <c r="E253" s="29"/>
      <c r="F253" s="29">
        <v>-0.18</v>
      </c>
      <c r="G253" s="29">
        <v>-0.25</v>
      </c>
      <c r="H253" s="29">
        <v>0.17</v>
      </c>
      <c r="I253" s="29">
        <v>-0.01</v>
      </c>
    </row>
    <row r="254" spans="1:9" x14ac:dyDescent="0.3">
      <c r="A254" s="30" t="s">
        <v>115</v>
      </c>
      <c r="B254" s="29"/>
      <c r="C254" s="29"/>
      <c r="D254" s="29"/>
      <c r="E254" s="29"/>
      <c r="F254" s="29">
        <v>-0.14000000000000001</v>
      </c>
      <c r="G254" s="29">
        <v>0.04</v>
      </c>
      <c r="H254" s="29">
        <v>0.16</v>
      </c>
      <c r="I254" s="29">
        <v>-0.1</v>
      </c>
    </row>
    <row r="255" spans="1:9" x14ac:dyDescent="0.3">
      <c r="A255" s="30" t="s">
        <v>121</v>
      </c>
      <c r="B255" s="29"/>
      <c r="C255" s="29"/>
      <c r="D255" s="29"/>
      <c r="E255" s="29"/>
      <c r="F255" s="29">
        <v>0.03</v>
      </c>
      <c r="G255" s="29">
        <v>-0.15</v>
      </c>
      <c r="H255" s="29">
        <v>-0.04</v>
      </c>
      <c r="I255" s="29">
        <v>0.43</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v>
      </c>
      <c r="C257" s="35">
        <v>0.06</v>
      </c>
      <c r="D257" s="35">
        <v>0.06</v>
      </c>
      <c r="E257" s="35">
        <v>0.06</v>
      </c>
      <c r="F257" s="35">
        <v>7.0000000000000007E-2</v>
      </c>
      <c r="G257" s="35">
        <v>-0.04</v>
      </c>
      <c r="H257" s="57">
        <v>0.19</v>
      </c>
      <c r="I257" s="35">
        <v>0.05</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4.4" x14ac:dyDescent="0.3"/>
  <cols>
    <col min="1" max="1" width="48.6640625" customWidth="1"/>
    <col min="2" max="14" width="11.6640625" customWidth="1"/>
    <col min="15" max="15" width="16.33203125" customWidth="1"/>
    <col min="19" max="19" width="8.5546875" customWidth="1"/>
  </cols>
  <sheetData>
    <row r="1" spans="1:21"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3">
      <c r="A2" s="38" t="s">
        <v>128</v>
      </c>
      <c r="B2" s="38"/>
      <c r="C2" s="38"/>
      <c r="D2" s="38"/>
      <c r="E2" s="38"/>
      <c r="F2" s="38"/>
      <c r="G2" s="38"/>
      <c r="H2" s="38"/>
      <c r="I2" s="38"/>
      <c r="J2" s="37"/>
      <c r="K2" s="37"/>
      <c r="L2" s="37"/>
      <c r="M2" s="37"/>
      <c r="N2" s="37"/>
      <c r="O2" s="37"/>
    </row>
    <row r="3" spans="1:21" x14ac:dyDescent="0.3">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3">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3">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3">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3">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3">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3">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3">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3">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3">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3">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3">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3">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3">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3">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4"/>
    </row>
    <row r="18" spans="1:15" x14ac:dyDescent="0.3">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3">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3">
      <c r="A20" s="41" t="str">
        <f>+Historicals!A109</f>
        <v>North America</v>
      </c>
      <c r="B20" s="41"/>
      <c r="C20" s="41"/>
      <c r="D20" s="41"/>
      <c r="E20" s="41"/>
      <c r="F20" s="41"/>
      <c r="G20" s="41"/>
      <c r="H20" s="41"/>
      <c r="I20" s="41"/>
      <c r="J20" s="73"/>
      <c r="K20" s="73"/>
      <c r="L20" s="73"/>
      <c r="M20" s="73"/>
      <c r="N20" s="73"/>
      <c r="O20" s="73"/>
    </row>
    <row r="21" spans="1:15" x14ac:dyDescent="0.3">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4"/>
    </row>
    <row r="22" spans="1:15" x14ac:dyDescent="0.3">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3">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3">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3">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5">
        <v>0.03</v>
      </c>
    </row>
    <row r="26" spans="1:15" x14ac:dyDescent="0.3">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3">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3">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3">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5">
        <v>0.03</v>
      </c>
    </row>
    <row r="30" spans="1:15" x14ac:dyDescent="0.3">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3">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3">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3">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3">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3">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3">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3">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3">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3">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3">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3">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3">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3">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3">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3">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3">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3">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3">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3">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3">
      <c r="A50" s="41" t="str">
        <f>+Historicals!A113</f>
        <v>Europe, Middle East &amp; Africa</v>
      </c>
      <c r="B50" s="41"/>
      <c r="C50" s="41"/>
      <c r="D50" s="41"/>
      <c r="E50" s="41"/>
      <c r="F50" s="41"/>
      <c r="G50" s="41"/>
      <c r="H50" s="41"/>
      <c r="I50" s="41"/>
      <c r="J50" s="73"/>
      <c r="K50" s="73"/>
      <c r="L50" s="73"/>
      <c r="M50" s="73"/>
      <c r="N50" s="73"/>
      <c r="O50" s="73"/>
    </row>
    <row r="51" spans="1:15" x14ac:dyDescent="0.3">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3">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3">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3">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3">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3">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3">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3">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3">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3">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3">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3">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3">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3">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3">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3">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3">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3">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3">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3">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3">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3">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3">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3">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3">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3">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3">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3">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3">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3">
      <c r="A80" s="41" t="str">
        <f>Historicals!A189</f>
        <v>Greater China</v>
      </c>
      <c r="B80" s="41"/>
      <c r="C80" s="41"/>
      <c r="D80" s="41"/>
      <c r="E80" s="41"/>
      <c r="F80" s="41"/>
      <c r="G80" s="41"/>
      <c r="H80" s="41"/>
      <c r="I80" s="41"/>
      <c r="J80" s="73"/>
      <c r="K80" s="73"/>
      <c r="L80" s="73"/>
      <c r="M80" s="73"/>
      <c r="N80" s="73"/>
      <c r="O80" s="73"/>
    </row>
    <row r="81" spans="1:15" x14ac:dyDescent="0.3">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3">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3">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3">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5">
        <v>-0.25</v>
      </c>
    </row>
    <row r="85" spans="1:15" x14ac:dyDescent="0.3">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3">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3">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3">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3">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3">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3">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3">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3">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3">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3">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3">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3">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3">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3">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3">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3">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3">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3">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3">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3">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3">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3">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3">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3">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3">
      <c r="A110" s="41" t="str">
        <f>Historicals!A121</f>
        <v>Asia Pacific &amp; Latin America</v>
      </c>
      <c r="B110" s="41"/>
      <c r="C110" s="41"/>
      <c r="D110" s="41"/>
      <c r="E110" s="41"/>
      <c r="F110" s="41"/>
      <c r="G110" s="41"/>
      <c r="H110" s="41"/>
      <c r="I110" s="41"/>
      <c r="J110" s="73"/>
      <c r="K110" s="73"/>
      <c r="L110" s="73"/>
      <c r="M110" s="73"/>
      <c r="N110" s="73"/>
      <c r="O110" s="73"/>
    </row>
    <row r="111" spans="1:15" x14ac:dyDescent="0.3">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3">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3">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3">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3">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3">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3">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3">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3">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3">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3">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3">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3">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3">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3">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3">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3">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3">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3">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3">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3">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3">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3">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3">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3">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3">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3">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3">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3">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3">
      <c r="A140" s="41" t="str">
        <f>Historicals!A125</f>
        <v>Global Brand Divisions</v>
      </c>
      <c r="B140" s="41"/>
      <c r="C140" s="41"/>
      <c r="D140" s="41"/>
      <c r="E140" s="41"/>
      <c r="F140" s="41"/>
      <c r="G140" s="41"/>
      <c r="H140" s="41"/>
      <c r="I140" s="41"/>
      <c r="J140" s="73"/>
      <c r="K140" s="73"/>
      <c r="L140" s="73"/>
      <c r="M140" s="73"/>
      <c r="N140" s="73"/>
      <c r="O140" s="73"/>
    </row>
    <row r="141" spans="1:15" x14ac:dyDescent="0.3">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3">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3">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3">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3">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3">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3">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3">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3">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3">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3">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3">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3">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3">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3">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3">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3">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3">
      <c r="A158" s="41" t="str">
        <f>Historicals!A127</f>
        <v>Converse</v>
      </c>
      <c r="B158" s="41"/>
      <c r="C158" s="41"/>
      <c r="D158" s="41"/>
      <c r="E158" s="41"/>
      <c r="F158" s="41"/>
      <c r="G158" s="41"/>
      <c r="H158" s="41"/>
      <c r="I158" s="41"/>
      <c r="J158" s="73"/>
      <c r="K158" s="73"/>
      <c r="L158" s="73"/>
      <c r="M158" s="73"/>
      <c r="N158" s="73"/>
      <c r="O158" s="73"/>
    </row>
    <row r="159" spans="1:15" x14ac:dyDescent="0.3">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3">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3">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3">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3">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3">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3">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3">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3">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3">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3">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3">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3">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3">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3">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3">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3">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3">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3">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3">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3">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3">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3">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3">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3">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3">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3">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3">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3">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3">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3">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3">
      <c r="A190" s="65"/>
      <c r="B190" s="59"/>
      <c r="C190" s="59"/>
      <c r="D190" s="59"/>
      <c r="E190" s="59"/>
      <c r="F190" s="59"/>
      <c r="G190" s="59"/>
      <c r="H190" s="59"/>
      <c r="I190" s="59"/>
      <c r="J190" s="74"/>
      <c r="K190" s="74"/>
      <c r="L190" s="74"/>
      <c r="M190" s="74"/>
      <c r="N190" s="74"/>
      <c r="O190" s="74"/>
    </row>
    <row r="191" spans="1:15" x14ac:dyDescent="0.3">
      <c r="A191" s="41" t="str">
        <f>Historicals!A176</f>
        <v>Corporate</v>
      </c>
      <c r="B191" s="41"/>
      <c r="C191" s="41"/>
      <c r="D191" s="41"/>
      <c r="E191" s="41"/>
      <c r="F191" s="41"/>
      <c r="G191" s="41"/>
      <c r="H191" s="41"/>
      <c r="I191" s="41"/>
      <c r="J191" s="73"/>
      <c r="K191" s="73"/>
      <c r="L191" s="73"/>
      <c r="M191" s="73"/>
      <c r="N191" s="73"/>
      <c r="O191" s="73"/>
    </row>
    <row r="192" spans="1:15" x14ac:dyDescent="0.3">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3">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3">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3">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3">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3">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3">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3">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3">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3">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3">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3">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3">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3">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3">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3">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3">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3">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3">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3">
      <c r="B212" s="77"/>
    </row>
    <row r="213" spans="1:15" x14ac:dyDescent="0.3">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7"/>
  <sheetViews>
    <sheetView tabSelected="1" topLeftCell="B21" zoomScale="90" zoomScaleNormal="90" workbookViewId="0">
      <selection activeCell="O28" sqref="O28"/>
    </sheetView>
  </sheetViews>
  <sheetFormatPr defaultRowHeight="14.4" x14ac:dyDescent="0.3"/>
  <cols>
    <col min="1" max="1" width="45.88671875" customWidth="1"/>
    <col min="2" max="2" width="11.88671875" customWidth="1"/>
    <col min="3" max="3" width="11.44140625" customWidth="1"/>
    <col min="4" max="4" width="12.33203125" customWidth="1"/>
    <col min="5" max="5" width="12.5546875" customWidth="1"/>
    <col min="6" max="6" width="12.44140625" customWidth="1"/>
    <col min="7" max="7" width="12" customWidth="1"/>
    <col min="8" max="8" width="10.6640625" customWidth="1"/>
    <col min="9" max="10" width="12.88671875" customWidth="1"/>
    <col min="11" max="12" width="11.33203125" customWidth="1"/>
    <col min="13" max="14" width="11.6640625" bestFit="1" customWidth="1"/>
    <col min="15" max="16" width="66.6640625" style="134" customWidth="1"/>
    <col min="17" max="17" width="35.88671875" style="169" customWidth="1"/>
    <col min="18" max="18" width="47.33203125" customWidth="1"/>
    <col min="19" max="19" width="36.6640625" customWidth="1"/>
  </cols>
  <sheetData>
    <row r="1" spans="1:19" ht="66" customHeight="1" x14ac:dyDescent="0.3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181"/>
      <c r="P1" s="181"/>
      <c r="Q1" s="170" t="s">
        <v>228</v>
      </c>
      <c r="R1" s="37"/>
    </row>
    <row r="2" spans="1:19" x14ac:dyDescent="0.3">
      <c r="A2" s="92" t="s">
        <v>147</v>
      </c>
      <c r="B2" s="92"/>
      <c r="C2" s="92"/>
      <c r="D2" s="92"/>
      <c r="E2" s="92"/>
      <c r="F2" s="92"/>
      <c r="G2" s="92"/>
      <c r="H2" s="92"/>
      <c r="I2" s="92"/>
      <c r="J2" s="37"/>
      <c r="K2" s="37"/>
      <c r="L2" s="37"/>
      <c r="M2" s="37"/>
      <c r="N2" s="37"/>
      <c r="O2" s="175"/>
      <c r="P2" s="175"/>
      <c r="Q2" s="27"/>
      <c r="R2" s="37"/>
    </row>
    <row r="3" spans="1:19" x14ac:dyDescent="0.3">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147"/>
      <c r="P3" s="147"/>
      <c r="Q3" s="147"/>
      <c r="R3" s="69"/>
    </row>
    <row r="4" spans="1:19" x14ac:dyDescent="0.3">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148"/>
      <c r="P4" s="148"/>
      <c r="Q4" s="148"/>
      <c r="R4" s="70"/>
    </row>
    <row r="5" spans="1:19" x14ac:dyDescent="0.3">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147"/>
      <c r="P5" s="147"/>
      <c r="Q5" s="147"/>
      <c r="R5" s="69"/>
    </row>
    <row r="6" spans="1:19" x14ac:dyDescent="0.3">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82"/>
      <c r="P6" s="182"/>
      <c r="Q6" s="149"/>
      <c r="R6" s="125"/>
    </row>
    <row r="7" spans="1:19" x14ac:dyDescent="0.3">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50"/>
      <c r="P7" s="150"/>
      <c r="Q7" s="150"/>
      <c r="R7" s="126"/>
    </row>
    <row r="8" spans="1:19" x14ac:dyDescent="0.3">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148"/>
      <c r="P8" s="148"/>
      <c r="Q8" s="148"/>
      <c r="R8" s="70"/>
    </row>
    <row r="9" spans="1:19" ht="19.5" customHeight="1" x14ac:dyDescent="0.3">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48"/>
      <c r="P9" s="148"/>
      <c r="Q9" s="151"/>
      <c r="R9" s="71"/>
      <c r="S9" s="19"/>
    </row>
    <row r="10" spans="1:19" x14ac:dyDescent="0.3">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290.7579974993709</v>
      </c>
      <c r="L10" s="126">
        <f t="shared" si="7"/>
        <v>346.30002321849088</v>
      </c>
      <c r="M10" s="126">
        <f t="shared" si="7"/>
        <v>444.52979018274613</v>
      </c>
      <c r="N10" s="126">
        <f t="shared" si="7"/>
        <v>590.35836502368102</v>
      </c>
      <c r="O10" s="150"/>
      <c r="P10" s="150"/>
      <c r="Q10" s="150"/>
      <c r="R10" s="126"/>
    </row>
    <row r="11" spans="1:19" x14ac:dyDescent="0.3">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8875.8002564607177</v>
      </c>
      <c r="L11" s="100">
        <f t="shared" si="8"/>
        <v>10894.025260995522</v>
      </c>
      <c r="M11" s="100">
        <f t="shared" si="8"/>
        <v>13527.514311465953</v>
      </c>
      <c r="N11" s="100">
        <f t="shared" si="8"/>
        <v>15923.282581761005</v>
      </c>
      <c r="O11" s="176"/>
      <c r="P11" s="176"/>
      <c r="Q11" s="152"/>
      <c r="R11" s="94"/>
    </row>
    <row r="12" spans="1:19" x14ac:dyDescent="0.3">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976.92521090694163</v>
      </c>
      <c r="L12" s="126">
        <f t="shared" si="9"/>
        <v>1318.9698258221247</v>
      </c>
      <c r="M12" s="126">
        <f t="shared" si="9"/>
        <v>1801.5950068512211</v>
      </c>
      <c r="N12" s="126">
        <f t="shared" si="9"/>
        <v>2332.7298943925598</v>
      </c>
      <c r="O12" s="150"/>
      <c r="P12" s="150"/>
      <c r="Q12" s="150"/>
      <c r="R12" s="126"/>
    </row>
    <row r="13" spans="1:19" x14ac:dyDescent="0.3">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I13*(1+$S$13)</f>
        <v>0.10006014133213051</v>
      </c>
      <c r="K13" s="84">
        <f t="shared" ref="K13:N13" si="11">J13*(1+$S$13)</f>
        <v>0.11006615546534357</v>
      </c>
      <c r="L13" s="84">
        <f t="shared" si="11"/>
        <v>0.12107277101187794</v>
      </c>
      <c r="M13" s="84">
        <f t="shared" si="11"/>
        <v>0.13318004811306575</v>
      </c>
      <c r="N13" s="84">
        <f t="shared" si="11"/>
        <v>0.14649805292437235</v>
      </c>
      <c r="O13" s="148"/>
      <c r="P13" s="148"/>
      <c r="Q13" s="148"/>
      <c r="R13" t="s">
        <v>224</v>
      </c>
      <c r="S13" s="135">
        <v>0.1</v>
      </c>
    </row>
    <row r="14" spans="1:19" ht="15" thickBot="1" x14ac:dyDescent="0.35">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7898.8750455537756</v>
      </c>
      <c r="L14" s="106">
        <f t="shared" si="12"/>
        <v>9575.0554351733972</v>
      </c>
      <c r="M14" s="106">
        <f t="shared" si="12"/>
        <v>11725.919304614732</v>
      </c>
      <c r="N14" s="106">
        <f t="shared" si="12"/>
        <v>13590.552687368445</v>
      </c>
      <c r="O14" s="176"/>
      <c r="P14" s="176"/>
      <c r="Q14" s="152"/>
      <c r="R14" s="94"/>
    </row>
    <row r="15" spans="1:19" ht="15" thickTop="1" x14ac:dyDescent="0.3">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73">
        <f>I15-(J59/112.86)</f>
        <v>1636.1677122098174</v>
      </c>
      <c r="K15" s="173">
        <f t="shared" ref="K15:N15" si="13">J15-(K59/112.86)</f>
        <v>1661.5354244196349</v>
      </c>
      <c r="L15" s="173">
        <f t="shared" si="13"/>
        <v>1686.9031366294523</v>
      </c>
      <c r="M15" s="173">
        <f t="shared" si="13"/>
        <v>1712.2708488392698</v>
      </c>
      <c r="N15" s="173">
        <f t="shared" si="13"/>
        <v>1737.6385610490872</v>
      </c>
      <c r="O15" s="150"/>
      <c r="P15" s="150" t="s">
        <v>243</v>
      </c>
      <c r="Q15" s="153"/>
      <c r="R15" t="s">
        <v>223</v>
      </c>
    </row>
    <row r="16" spans="1:19" x14ac:dyDescent="0.3">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74">
        <f>J14/J15</f>
        <v>3.7800600415292798</v>
      </c>
      <c r="K16" s="174">
        <f t="shared" ref="K16:N16" si="14">K14/K15</f>
        <v>4.7539612634577493</v>
      </c>
      <c r="L16" s="174">
        <f t="shared" si="14"/>
        <v>5.6761145481684334</v>
      </c>
      <c r="M16" s="174">
        <f t="shared" si="14"/>
        <v>6.8481685082495032</v>
      </c>
      <c r="N16" s="174">
        <f t="shared" si="14"/>
        <v>7.8212771010118711</v>
      </c>
      <c r="O16" s="183"/>
      <c r="P16" s="183"/>
      <c r="Q16" s="154"/>
      <c r="R16" s="133"/>
    </row>
    <row r="17" spans="1:19" x14ac:dyDescent="0.3">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72">
        <f>J16*J19</f>
        <v>1.1553166373265016</v>
      </c>
      <c r="K17" s="172">
        <f t="shared" ref="K17:N17" si="15">K16*K19</f>
        <v>1.4602392906303496</v>
      </c>
      <c r="L17" s="172">
        <f t="shared" si="15"/>
        <v>1.7522077793924125</v>
      </c>
      <c r="M17" s="172">
        <f t="shared" si="15"/>
        <v>2.1245891186797774</v>
      </c>
      <c r="N17" s="172">
        <f t="shared" si="15"/>
        <v>2.4386206624423261</v>
      </c>
      <c r="O17" s="183"/>
      <c r="P17" s="183" t="s">
        <v>244</v>
      </c>
      <c r="Q17" s="154" t="s">
        <v>230</v>
      </c>
      <c r="R17" s="133"/>
      <c r="S17" s="135"/>
    </row>
    <row r="18" spans="1:19" x14ac:dyDescent="0.3">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1.3056091129846943E-2</v>
      </c>
      <c r="K18" s="60">
        <f t="shared" ref="K18" si="18">IFERROR((K17-J17)/J17,"nm")</f>
        <v>0.26392994219269994</v>
      </c>
      <c r="L18" s="60">
        <f t="shared" ref="L18" si="19">IFERROR((L17-K17)/K17,"nm")</f>
        <v>0.19994564633035394</v>
      </c>
      <c r="M18" s="60">
        <f t="shared" ref="M18" si="20">IFERROR((M17-L17)/L17,"nm")</f>
        <v>0.21252122246397639</v>
      </c>
      <c r="N18" s="60">
        <f t="shared" ref="N18" si="21">IFERROR((N17-M17)/M17,"nm")</f>
        <v>0.14780812958210401</v>
      </c>
      <c r="O18" s="148"/>
      <c r="P18" s="148" t="s">
        <v>238</v>
      </c>
      <c r="Q18" s="155" t="s">
        <v>229</v>
      </c>
      <c r="R18" s="60"/>
      <c r="S18" s="135">
        <v>0.02</v>
      </c>
    </row>
    <row r="19" spans="1:19" x14ac:dyDescent="0.3">
      <c r="A19" s="104" t="s">
        <v>155</v>
      </c>
      <c r="B19" s="96">
        <f>B17/B16</f>
        <v>0.2747319911499016</v>
      </c>
      <c r="C19" s="96">
        <f t="shared" ref="C19:I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60">
        <f>I19*(1+$S$19)</f>
        <v>0.30563446734541838</v>
      </c>
      <c r="K19" s="60">
        <f t="shared" ref="K19:N19" si="23">J19*(1+$S$19)</f>
        <v>0.30716263968214547</v>
      </c>
      <c r="L19" s="60">
        <f t="shared" si="23"/>
        <v>0.30869845288055614</v>
      </c>
      <c r="M19" s="60">
        <f t="shared" si="23"/>
        <v>0.3102419451449589</v>
      </c>
      <c r="N19" s="60">
        <f t="shared" si="23"/>
        <v>0.31179315487068365</v>
      </c>
      <c r="O19" s="184"/>
      <c r="P19" s="184" t="s">
        <v>237</v>
      </c>
      <c r="Q19" s="156"/>
      <c r="R19" s="96"/>
      <c r="S19" s="142">
        <v>5.0000000000000001E-3</v>
      </c>
    </row>
    <row r="20" spans="1:19" x14ac:dyDescent="0.3">
      <c r="A20" s="108" t="s">
        <v>156</v>
      </c>
      <c r="B20" s="92"/>
      <c r="C20" s="92"/>
      <c r="D20" s="92"/>
      <c r="E20" s="92"/>
      <c r="F20" s="92"/>
      <c r="G20" s="92"/>
      <c r="H20" s="92"/>
      <c r="I20" s="92"/>
      <c r="J20" s="128"/>
      <c r="K20" s="128"/>
      <c r="L20" s="128"/>
      <c r="M20" s="128"/>
      <c r="N20" s="128"/>
      <c r="O20" s="147"/>
      <c r="P20" s="147"/>
      <c r="Q20" s="147"/>
      <c r="R20" s="128"/>
    </row>
    <row r="21" spans="1:19" x14ac:dyDescent="0.3">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187">
        <f>+J68</f>
        <v>10026.137844805893</v>
      </c>
      <c r="K21" s="187">
        <f t="shared" ref="K21:N21" si="24">J21*(1+$S$21)</f>
        <v>10226.660601702011</v>
      </c>
      <c r="L21" s="187">
        <f t="shared" si="24"/>
        <v>10431.193813736052</v>
      </c>
      <c r="M21" s="187">
        <f t="shared" si="24"/>
        <v>10639.817690010774</v>
      </c>
      <c r="N21" s="187">
        <f t="shared" si="24"/>
        <v>10852.614043810989</v>
      </c>
      <c r="O21" s="157" t="s">
        <v>248</v>
      </c>
      <c r="P21" s="157"/>
      <c r="Q21" s="157"/>
      <c r="R21" t="s">
        <v>225</v>
      </c>
      <c r="S21" s="135">
        <v>0.02</v>
      </c>
    </row>
    <row r="22" spans="1:19" x14ac:dyDescent="0.3">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1">
        <f>I22</f>
        <v>4423</v>
      </c>
      <c r="K22" s="141">
        <f t="shared" ref="K22:N22" si="25">J22</f>
        <v>4423</v>
      </c>
      <c r="L22" s="141">
        <f t="shared" si="25"/>
        <v>4423</v>
      </c>
      <c r="M22" s="141">
        <f t="shared" si="25"/>
        <v>4423</v>
      </c>
      <c r="N22" s="141">
        <f t="shared" si="25"/>
        <v>4423</v>
      </c>
      <c r="O22" s="157"/>
      <c r="P22" s="157"/>
      <c r="Q22" s="158"/>
    </row>
    <row r="23" spans="1:19" x14ac:dyDescent="0.3">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J24*J3</f>
        <v>9966.6738674018106</v>
      </c>
      <c r="K23" s="50">
        <f t="shared" ref="K23:N23" si="26">K24*K3</f>
        <v>10944.724944019352</v>
      </c>
      <c r="L23" s="50">
        <f t="shared" si="26"/>
        <v>11644.065141326826</v>
      </c>
      <c r="M23" s="50">
        <f t="shared" si="26"/>
        <v>12262.203404709862</v>
      </c>
      <c r="N23" s="50">
        <f t="shared" si="26"/>
        <v>13039.768490830031</v>
      </c>
      <c r="O23" s="157"/>
      <c r="P23" s="157"/>
      <c r="Q23" s="157" t="s">
        <v>231</v>
      </c>
      <c r="R23" s="69"/>
    </row>
    <row r="24" spans="1:19" x14ac:dyDescent="0.3">
      <c r="A24" s="104" t="s">
        <v>160</v>
      </c>
      <c r="B24" s="96">
        <f>B23/B3</f>
        <v>0.18182412339466031</v>
      </c>
      <c r="C24" s="96">
        <f t="shared" ref="C24:I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82">
        <f>AVERAGE(B24:I24)*(1+$S$24)</f>
        <v>0.19527043079167658</v>
      </c>
      <c r="K24" s="82">
        <f t="shared" ref="K24:N24" si="28">AVERAGE(C24:J24)*(1+$S$24)</f>
        <v>0.19698483498479616</v>
      </c>
      <c r="L24" s="82">
        <f t="shared" si="28"/>
        <v>0.19891285511474238</v>
      </c>
      <c r="M24" s="82">
        <f t="shared" si="28"/>
        <v>0.19946463715497245</v>
      </c>
      <c r="N24" s="82">
        <f t="shared" si="28"/>
        <v>0.20219670534225478</v>
      </c>
      <c r="O24" s="148"/>
      <c r="P24" s="148"/>
      <c r="Q24" s="155" t="s">
        <v>229</v>
      </c>
      <c r="R24" s="144"/>
      <c r="S24" s="135">
        <v>0.02</v>
      </c>
    </row>
    <row r="25" spans="1:19" x14ac:dyDescent="0.3">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1">
        <f>I25</f>
        <v>2129</v>
      </c>
      <c r="K25" s="141">
        <f t="shared" ref="K25:N25" si="29">J25</f>
        <v>2129</v>
      </c>
      <c r="L25" s="141">
        <f t="shared" si="29"/>
        <v>2129</v>
      </c>
      <c r="M25" s="141">
        <f t="shared" si="29"/>
        <v>2129</v>
      </c>
      <c r="N25" s="141">
        <f t="shared" si="29"/>
        <v>2129</v>
      </c>
      <c r="O25" s="157"/>
      <c r="P25" s="157"/>
      <c r="Q25" s="158"/>
      <c r="R25" s="69"/>
    </row>
    <row r="26" spans="1:19" x14ac:dyDescent="0.3">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50">
        <f>I26+I52-J47</f>
        <v>3283.3670857910852</v>
      </c>
      <c r="K26" s="50">
        <f t="shared" ref="J26:N26" si="30">J26+J52-K47</f>
        <v>1774.1288596449763</v>
      </c>
      <c r="L26" s="50">
        <f t="shared" si="30"/>
        <v>220.62411736258082</v>
      </c>
      <c r="M26" s="50">
        <f t="shared" si="30"/>
        <v>-1380.2029554857747</v>
      </c>
      <c r="N26" s="50">
        <f t="shared" si="30"/>
        <v>-3048.0186537766049</v>
      </c>
      <c r="O26" s="157" t="s">
        <v>247</v>
      </c>
      <c r="P26" s="157"/>
      <c r="Q26" s="157" t="s">
        <v>235</v>
      </c>
      <c r="R26" s="69"/>
    </row>
    <row r="27" spans="1:19" x14ac:dyDescent="0.3">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1">
        <f t="shared" ref="J27:N30" si="31">I27</f>
        <v>286</v>
      </c>
      <c r="K27" s="141">
        <f t="shared" si="31"/>
        <v>286</v>
      </c>
      <c r="L27" s="141">
        <f t="shared" si="31"/>
        <v>286</v>
      </c>
      <c r="M27" s="141">
        <f t="shared" si="31"/>
        <v>286</v>
      </c>
      <c r="N27" s="141">
        <f t="shared" si="31"/>
        <v>286</v>
      </c>
      <c r="O27" s="157"/>
      <c r="P27" s="157"/>
      <c r="Q27" s="158"/>
      <c r="R27" s="69"/>
    </row>
    <row r="28" spans="1:19" x14ac:dyDescent="0.3">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1">
        <f t="shared" si="31"/>
        <v>284</v>
      </c>
      <c r="K28" s="141">
        <f t="shared" si="31"/>
        <v>284</v>
      </c>
      <c r="L28" s="141">
        <f t="shared" si="31"/>
        <v>284</v>
      </c>
      <c r="M28" s="141">
        <f t="shared" si="31"/>
        <v>284</v>
      </c>
      <c r="N28" s="141">
        <f t="shared" si="31"/>
        <v>284</v>
      </c>
      <c r="O28" s="157"/>
      <c r="P28" s="157"/>
      <c r="Q28" s="158"/>
      <c r="R28" s="69"/>
    </row>
    <row r="29" spans="1:19" x14ac:dyDescent="0.3">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1">
        <f t="shared" si="31"/>
        <v>2926</v>
      </c>
      <c r="K29" s="141">
        <f t="shared" si="31"/>
        <v>2926</v>
      </c>
      <c r="L29" s="141">
        <f t="shared" si="31"/>
        <v>2926</v>
      </c>
      <c r="M29" s="141">
        <f t="shared" si="31"/>
        <v>2926</v>
      </c>
      <c r="N29" s="141">
        <f t="shared" si="31"/>
        <v>2926</v>
      </c>
      <c r="O29" s="157"/>
      <c r="P29" s="157"/>
      <c r="Q29" s="158"/>
      <c r="R29" s="69"/>
    </row>
    <row r="30" spans="1:19" x14ac:dyDescent="0.3">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1">
        <f t="shared" si="31"/>
        <v>3821</v>
      </c>
      <c r="K30" s="141">
        <f t="shared" si="31"/>
        <v>3821</v>
      </c>
      <c r="L30" s="141">
        <f t="shared" si="31"/>
        <v>3821</v>
      </c>
      <c r="M30" s="141">
        <f t="shared" si="31"/>
        <v>3821</v>
      </c>
      <c r="N30" s="141">
        <f t="shared" si="31"/>
        <v>3821</v>
      </c>
      <c r="O30" s="157"/>
      <c r="P30" s="157"/>
      <c r="Q30" s="158"/>
      <c r="R30" s="69"/>
    </row>
    <row r="31" spans="1:19" ht="15" thickBot="1" x14ac:dyDescent="0.35">
      <c r="A31" s="105" t="s">
        <v>165</v>
      </c>
      <c r="B31" s="106">
        <f>+B21+B22+B23+B25+B26+B27+B28+B29+B30</f>
        <v>19466</v>
      </c>
      <c r="C31" s="106">
        <f t="shared" ref="C31:N31" si="32">+C21+C22+C23+C25+C26+C27+C28+C29+C30</f>
        <v>19205</v>
      </c>
      <c r="D31" s="106">
        <f t="shared" si="32"/>
        <v>21211</v>
      </c>
      <c r="E31" s="106">
        <f t="shared" si="32"/>
        <v>20257</v>
      </c>
      <c r="F31" s="106">
        <f t="shared" si="32"/>
        <v>21105</v>
      </c>
      <c r="G31" s="106">
        <f t="shared" si="32"/>
        <v>29094</v>
      </c>
      <c r="H31" s="106">
        <f t="shared" si="32"/>
        <v>34904</v>
      </c>
      <c r="I31" s="106">
        <f t="shared" si="32"/>
        <v>36963</v>
      </c>
      <c r="J31" s="106">
        <f t="shared" si="32"/>
        <v>37145.178797998786</v>
      </c>
      <c r="K31" s="106">
        <f t="shared" si="32"/>
        <v>36814.514405366339</v>
      </c>
      <c r="L31" s="106">
        <f t="shared" si="32"/>
        <v>36164.883072425459</v>
      </c>
      <c r="M31" s="106">
        <f t="shared" si="32"/>
        <v>35390.818139234863</v>
      </c>
      <c r="N31" s="106">
        <f t="shared" si="32"/>
        <v>34713.363880864417</v>
      </c>
      <c r="O31" s="176"/>
      <c r="P31" s="176"/>
      <c r="Q31" s="152"/>
      <c r="R31" s="94"/>
    </row>
    <row r="32" spans="1:19" ht="15" thickTop="1" x14ac:dyDescent="0.3">
      <c r="A32" s="103" t="s">
        <v>166</v>
      </c>
      <c r="B32" s="102">
        <f>B33+B34</f>
        <v>181</v>
      </c>
      <c r="C32" s="102">
        <f t="shared" ref="C32:I32" si="33">C33+C34</f>
        <v>45</v>
      </c>
      <c r="D32" s="102">
        <f t="shared" si="33"/>
        <v>331</v>
      </c>
      <c r="E32" s="102">
        <f t="shared" si="33"/>
        <v>342</v>
      </c>
      <c r="F32" s="102">
        <f t="shared" si="33"/>
        <v>15</v>
      </c>
      <c r="G32" s="102">
        <f t="shared" si="33"/>
        <v>251</v>
      </c>
      <c r="H32" s="102">
        <f t="shared" si="33"/>
        <v>2</v>
      </c>
      <c r="I32" s="102">
        <f t="shared" si="33"/>
        <v>510</v>
      </c>
      <c r="J32" s="50">
        <f>I32*(1+$S$32)</f>
        <v>538.04999999999995</v>
      </c>
      <c r="K32" s="50">
        <f t="shared" ref="K32:N32" si="34">J32*(1+$S$32)</f>
        <v>567.64274999999986</v>
      </c>
      <c r="L32" s="50">
        <f t="shared" si="34"/>
        <v>598.86310124999977</v>
      </c>
      <c r="M32" s="50">
        <f t="shared" si="34"/>
        <v>631.80057181874975</v>
      </c>
      <c r="N32" s="50">
        <f t="shared" si="34"/>
        <v>666.54960326878097</v>
      </c>
      <c r="O32" s="157" t="s">
        <v>246</v>
      </c>
      <c r="P32" s="157"/>
      <c r="Q32" s="157"/>
      <c r="R32" t="s">
        <v>226</v>
      </c>
      <c r="S32" s="142">
        <v>5.5E-2</v>
      </c>
    </row>
    <row r="33" spans="1:19" x14ac:dyDescent="0.3">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f>
        <v>500</v>
      </c>
      <c r="K33" s="50">
        <f t="shared" ref="K33:N33" si="35">J33</f>
        <v>500</v>
      </c>
      <c r="L33" s="50">
        <f t="shared" si="35"/>
        <v>500</v>
      </c>
      <c r="M33" s="50">
        <f t="shared" si="35"/>
        <v>500</v>
      </c>
      <c r="N33" s="50">
        <f t="shared" si="35"/>
        <v>500</v>
      </c>
      <c r="O33" s="157"/>
      <c r="P33" s="157"/>
      <c r="Q33" s="157" t="s">
        <v>232</v>
      </c>
      <c r="R33" s="69"/>
      <c r="S33" s="143">
        <v>-0.25</v>
      </c>
    </row>
    <row r="34" spans="1:19" x14ac:dyDescent="0.3">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1">
        <f>I34</f>
        <v>10</v>
      </c>
      <c r="K34" s="141">
        <f t="shared" ref="K34:N34" si="36">J34</f>
        <v>10</v>
      </c>
      <c r="L34" s="141">
        <f t="shared" si="36"/>
        <v>10</v>
      </c>
      <c r="M34" s="141">
        <f t="shared" si="36"/>
        <v>10</v>
      </c>
      <c r="N34" s="141">
        <f t="shared" si="36"/>
        <v>10</v>
      </c>
      <c r="O34" s="157"/>
      <c r="P34" s="157"/>
      <c r="Q34" s="158"/>
      <c r="R34" s="69"/>
    </row>
    <row r="35" spans="1:19" x14ac:dyDescent="0.3">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1">
        <f>I35</f>
        <v>6862</v>
      </c>
      <c r="K35" s="141">
        <f t="shared" ref="K35:N35" si="37">J35</f>
        <v>6862</v>
      </c>
      <c r="L35" s="141">
        <f t="shared" si="37"/>
        <v>6862</v>
      </c>
      <c r="M35" s="141">
        <f t="shared" si="37"/>
        <v>6862</v>
      </c>
      <c r="N35" s="141">
        <f t="shared" si="37"/>
        <v>6862</v>
      </c>
      <c r="O35" s="157"/>
      <c r="P35" s="157"/>
      <c r="Q35" s="158"/>
      <c r="R35" s="69"/>
    </row>
    <row r="36" spans="1:19" x14ac:dyDescent="0.3">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f>I36-J62</f>
        <v>8920</v>
      </c>
      <c r="K36" s="50">
        <f t="shared" ref="K36:N36" si="38">J36-K62</f>
        <v>8920</v>
      </c>
      <c r="L36" s="50">
        <f t="shared" si="38"/>
        <v>8920</v>
      </c>
      <c r="M36" s="50">
        <f t="shared" si="38"/>
        <v>8920</v>
      </c>
      <c r="N36" s="50">
        <f t="shared" si="38"/>
        <v>8920</v>
      </c>
      <c r="O36" s="157"/>
      <c r="P36" s="157"/>
      <c r="Q36" s="157" t="s">
        <v>233</v>
      </c>
      <c r="R36" t="s">
        <v>227</v>
      </c>
    </row>
    <row r="37" spans="1:19" x14ac:dyDescent="0.3">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1">
        <f>I37</f>
        <v>2777</v>
      </c>
      <c r="K37" s="141">
        <f t="shared" ref="K37:N37" si="39">J37</f>
        <v>2777</v>
      </c>
      <c r="L37" s="141">
        <f t="shared" si="39"/>
        <v>2777</v>
      </c>
      <c r="M37" s="141">
        <f t="shared" si="39"/>
        <v>2777</v>
      </c>
      <c r="N37" s="141">
        <f t="shared" si="39"/>
        <v>2777</v>
      </c>
      <c r="O37" s="157"/>
      <c r="P37" s="157"/>
      <c r="Q37" s="158"/>
      <c r="R37" s="69"/>
    </row>
    <row r="38" spans="1:19" x14ac:dyDescent="0.3">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1">
        <f t="shared" ref="J38:N40" si="40">I38</f>
        <v>2613</v>
      </c>
      <c r="K38" s="141">
        <f t="shared" si="40"/>
        <v>2613</v>
      </c>
      <c r="L38" s="141">
        <f t="shared" si="40"/>
        <v>2613</v>
      </c>
      <c r="M38" s="141">
        <f t="shared" si="40"/>
        <v>2613</v>
      </c>
      <c r="N38" s="141">
        <f t="shared" si="40"/>
        <v>2613</v>
      </c>
      <c r="O38" s="157"/>
      <c r="P38" s="157"/>
      <c r="Q38" s="158"/>
      <c r="R38" s="69"/>
    </row>
    <row r="39" spans="1:19" x14ac:dyDescent="0.3">
      <c r="A39" s="103" t="s">
        <v>169</v>
      </c>
      <c r="B39" s="102"/>
      <c r="C39" s="102"/>
      <c r="D39" s="102"/>
      <c r="E39" s="102"/>
      <c r="F39" s="102"/>
      <c r="G39" s="102"/>
      <c r="H39" s="102"/>
      <c r="I39" s="102"/>
      <c r="J39" s="141">
        <f t="shared" si="40"/>
        <v>0</v>
      </c>
      <c r="K39" s="141">
        <f t="shared" si="40"/>
        <v>0</v>
      </c>
      <c r="L39" s="141">
        <f t="shared" si="40"/>
        <v>0</v>
      </c>
      <c r="M39" s="141">
        <f t="shared" si="40"/>
        <v>0</v>
      </c>
      <c r="N39" s="141">
        <f t="shared" si="40"/>
        <v>0</v>
      </c>
      <c r="O39" s="157"/>
      <c r="P39" s="157"/>
      <c r="Q39" s="158"/>
      <c r="R39" s="69"/>
    </row>
    <row r="40" spans="1:19" x14ac:dyDescent="0.3">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1">
        <f t="shared" si="40"/>
        <v>3</v>
      </c>
      <c r="K40" s="141">
        <f t="shared" si="40"/>
        <v>3</v>
      </c>
      <c r="L40" s="141">
        <f t="shared" si="40"/>
        <v>3</v>
      </c>
      <c r="M40" s="141">
        <f t="shared" si="40"/>
        <v>3</v>
      </c>
      <c r="N40" s="141">
        <f t="shared" si="40"/>
        <v>3</v>
      </c>
      <c r="O40" s="157"/>
      <c r="P40" s="157"/>
      <c r="Q40" s="158"/>
      <c r="R40" s="69"/>
    </row>
    <row r="41" spans="1:19" x14ac:dyDescent="0.3">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(I41+J14)+J61</f>
        <v>7770.5204107922691</v>
      </c>
      <c r="K41" s="50">
        <f t="shared" ref="J41:N41" si="41">(J41+K14)+K61</f>
        <v>13243.156146834321</v>
      </c>
      <c r="L41" s="50">
        <f t="shared" si="41"/>
        <v>19862.406782924128</v>
      </c>
      <c r="M41" s="50">
        <f t="shared" si="41"/>
        <v>27950.454073862362</v>
      </c>
      <c r="N41" s="50">
        <f t="shared" si="41"/>
        <v>37303.565462399951</v>
      </c>
      <c r="O41" s="157" t="s">
        <v>245</v>
      </c>
      <c r="P41" s="157" t="s">
        <v>236</v>
      </c>
      <c r="Q41" s="157" t="s">
        <v>234</v>
      </c>
      <c r="R41" s="69"/>
    </row>
    <row r="42" spans="1:19" x14ac:dyDescent="0.3">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1">
        <f>I42</f>
        <v>11802</v>
      </c>
      <c r="K42" s="141">
        <f t="shared" ref="K42:N42" si="42">J42</f>
        <v>11802</v>
      </c>
      <c r="L42" s="141">
        <f t="shared" si="42"/>
        <v>11802</v>
      </c>
      <c r="M42" s="141">
        <f t="shared" si="42"/>
        <v>11802</v>
      </c>
      <c r="N42" s="141">
        <f t="shared" si="42"/>
        <v>11802</v>
      </c>
      <c r="O42" s="157"/>
      <c r="P42" s="157"/>
      <c r="Q42" s="158"/>
      <c r="R42" s="69"/>
    </row>
    <row r="43" spans="1:19" ht="15" thickBot="1" x14ac:dyDescent="0.35">
      <c r="A43" s="105" t="s">
        <v>173</v>
      </c>
      <c r="B43" s="106">
        <f>SUM(B33:B38)+SUM(B40:B42)</f>
        <v>19466</v>
      </c>
      <c r="C43" s="106">
        <f t="shared" ref="C43:N43" si="43">SUM(C33:C38)+SUM(C40:C42)</f>
        <v>19205</v>
      </c>
      <c r="D43" s="106">
        <f t="shared" si="43"/>
        <v>21211</v>
      </c>
      <c r="E43" s="106">
        <f t="shared" si="43"/>
        <v>20257</v>
      </c>
      <c r="F43" s="106">
        <f t="shared" si="43"/>
        <v>21105</v>
      </c>
      <c r="G43" s="106">
        <f t="shared" si="43"/>
        <v>29094</v>
      </c>
      <c r="H43" s="106">
        <f t="shared" si="43"/>
        <v>34904</v>
      </c>
      <c r="I43" s="106">
        <f t="shared" si="43"/>
        <v>36963</v>
      </c>
      <c r="J43" s="106">
        <f t="shared" si="43"/>
        <v>41257.520410792269</v>
      </c>
      <c r="K43" s="106">
        <f t="shared" si="43"/>
        <v>46730.156146834321</v>
      </c>
      <c r="L43" s="106">
        <f t="shared" si="43"/>
        <v>53349.406782924125</v>
      </c>
      <c r="M43" s="106">
        <f t="shared" si="43"/>
        <v>61437.454073862362</v>
      </c>
      <c r="N43" s="106">
        <f t="shared" si="43"/>
        <v>70790.565462399943</v>
      </c>
      <c r="O43" s="176"/>
      <c r="P43" s="176"/>
      <c r="Q43" s="152"/>
      <c r="R43" s="94"/>
    </row>
    <row r="44" spans="1:19" ht="15" thickTop="1" x14ac:dyDescent="0.3">
      <c r="A44" s="110" t="s">
        <v>174</v>
      </c>
      <c r="B44" s="110">
        <f>B31-B43</f>
        <v>0</v>
      </c>
      <c r="C44" s="110">
        <f t="shared" ref="C44:I44" si="44">C31-C43</f>
        <v>0</v>
      </c>
      <c r="D44" s="110">
        <f t="shared" si="44"/>
        <v>0</v>
      </c>
      <c r="E44" s="110">
        <f t="shared" si="44"/>
        <v>0</v>
      </c>
      <c r="F44" s="110">
        <f t="shared" si="44"/>
        <v>0</v>
      </c>
      <c r="G44" s="110">
        <f t="shared" si="44"/>
        <v>0</v>
      </c>
      <c r="H44" s="110">
        <f t="shared" si="44"/>
        <v>0</v>
      </c>
      <c r="I44" s="110">
        <f t="shared" si="44"/>
        <v>0</v>
      </c>
      <c r="J44" s="110">
        <f>+J31-J43</f>
        <v>-4112.3416127934834</v>
      </c>
      <c r="K44" s="171">
        <f t="shared" ref="K44:N44" si="45">+K31-K43</f>
        <v>-9915.6417414679818</v>
      </c>
      <c r="L44" s="171">
        <f t="shared" si="45"/>
        <v>-17184.523710498666</v>
      </c>
      <c r="M44" s="171">
        <f t="shared" si="45"/>
        <v>-26046.635934627499</v>
      </c>
      <c r="N44" s="171">
        <f t="shared" si="45"/>
        <v>-36077.201581535526</v>
      </c>
      <c r="O44" s="177"/>
      <c r="P44" s="177"/>
      <c r="Q44" s="159"/>
      <c r="R44" s="110"/>
      <c r="S44" s="1"/>
    </row>
    <row r="45" spans="1:19" x14ac:dyDescent="0.3">
      <c r="A45" s="108" t="s">
        <v>175</v>
      </c>
      <c r="B45" s="92"/>
      <c r="C45" s="92"/>
      <c r="D45" s="92"/>
      <c r="E45" s="92"/>
      <c r="F45" s="92"/>
      <c r="G45" s="92"/>
      <c r="H45" s="92"/>
      <c r="I45" s="92"/>
      <c r="J45" s="128"/>
      <c r="K45" s="128"/>
      <c r="L45" s="128"/>
      <c r="M45" s="128"/>
      <c r="N45" s="128"/>
      <c r="O45" s="147"/>
      <c r="P45" s="147"/>
      <c r="Q45" s="147"/>
      <c r="R45" s="128"/>
    </row>
    <row r="46" spans="1:19" x14ac:dyDescent="0.3">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94">
        <f>'Segmental forecast'!J11</f>
        <v>7121.118788703614</v>
      </c>
      <c r="K46" s="94">
        <f>'Segmental forecast'!K11</f>
        <v>9166.5582539600891</v>
      </c>
      <c r="L46" s="94">
        <f>'Segmental forecast'!L11</f>
        <v>11240.325284214014</v>
      </c>
      <c r="M46" s="94">
        <f>'Segmental forecast'!M11</f>
        <v>13972.044101648698</v>
      </c>
      <c r="N46" s="94">
        <f>'Segmental forecast'!N11</f>
        <v>16513.640946784686</v>
      </c>
      <c r="O46" s="150"/>
      <c r="P46" s="150"/>
      <c r="Q46" s="160"/>
      <c r="R46" s="129"/>
    </row>
    <row r="47" spans="1:19" x14ac:dyDescent="0.3">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157"/>
      <c r="P47" s="157"/>
      <c r="Q47" s="157"/>
      <c r="R47" s="69"/>
    </row>
    <row r="48" spans="1:19" x14ac:dyDescent="0.3">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50">
        <f>J12</f>
        <v>687.66059853890476</v>
      </c>
      <c r="K48" s="50">
        <f t="shared" ref="K48:N48" si="46">K12</f>
        <v>976.92521090694163</v>
      </c>
      <c r="L48" s="50">
        <f t="shared" si="46"/>
        <v>1318.9698258221247</v>
      </c>
      <c r="M48" s="50">
        <f t="shared" si="46"/>
        <v>1801.5950068512211</v>
      </c>
      <c r="N48" s="50">
        <f t="shared" si="46"/>
        <v>2332.7298943925598</v>
      </c>
      <c r="O48" s="157"/>
      <c r="P48" s="157" t="s">
        <v>239</v>
      </c>
      <c r="Q48" s="158"/>
      <c r="R48" s="69"/>
    </row>
    <row r="49" spans="1:19" x14ac:dyDescent="0.3">
      <c r="A49" s="93" t="s">
        <v>177</v>
      </c>
      <c r="B49" s="94">
        <f>B46-B48</f>
        <v>2971</v>
      </c>
      <c r="C49" s="94">
        <f t="shared" ref="C49:N49" si="47">C46-C48</f>
        <v>3894</v>
      </c>
      <c r="D49" s="94">
        <f t="shared" si="47"/>
        <v>4242</v>
      </c>
      <c r="E49" s="94">
        <f t="shared" si="47"/>
        <v>3850</v>
      </c>
      <c r="F49" s="94">
        <f t="shared" si="47"/>
        <v>4093</v>
      </c>
      <c r="G49" s="94">
        <f t="shared" si="47"/>
        <v>1948</v>
      </c>
      <c r="H49" s="94">
        <f t="shared" si="47"/>
        <v>5746</v>
      </c>
      <c r="I49" s="94">
        <f t="shared" si="47"/>
        <v>5625</v>
      </c>
      <c r="J49" s="98">
        <f t="shared" si="47"/>
        <v>6433.4581901647089</v>
      </c>
      <c r="K49" s="98">
        <f t="shared" si="47"/>
        <v>8189.633043053147</v>
      </c>
      <c r="L49" s="98">
        <f t="shared" si="47"/>
        <v>9921.3554583918885</v>
      </c>
      <c r="M49" s="98">
        <f t="shared" si="47"/>
        <v>12170.449094797477</v>
      </c>
      <c r="N49" s="98">
        <f t="shared" si="47"/>
        <v>14180.911052392126</v>
      </c>
      <c r="O49" s="178"/>
      <c r="P49" s="178"/>
      <c r="Q49" s="97"/>
      <c r="R49" s="94"/>
    </row>
    <row r="50" spans="1:19" x14ac:dyDescent="0.3">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$R$50*J67</f>
        <v>248.64600000000002</v>
      </c>
      <c r="K50" s="50">
        <f t="shared" ref="K50:N50" si="48">$R$50*K67</f>
        <v>290.7579974993709</v>
      </c>
      <c r="L50" s="50">
        <f t="shared" si="48"/>
        <v>346.30002321849088</v>
      </c>
      <c r="M50" s="50">
        <f t="shared" si="48"/>
        <v>444.52979018274613</v>
      </c>
      <c r="N50" s="50">
        <f t="shared" si="48"/>
        <v>590.35836502368102</v>
      </c>
      <c r="O50" s="157"/>
      <c r="P50" s="157"/>
      <c r="Q50" s="157"/>
      <c r="R50" s="140">
        <v>2.9000000000000001E-2</v>
      </c>
    </row>
    <row r="51" spans="1:19" x14ac:dyDescent="0.3">
      <c r="A51" s="103" t="s">
        <v>179</v>
      </c>
      <c r="B51" s="122">
        <f>-(B23-B77)</f>
        <v>-1138</v>
      </c>
      <c r="C51" s="122">
        <f>-(C23-B23)</f>
        <v>-324</v>
      </c>
      <c r="D51" s="122">
        <f t="shared" ref="D51:I51" si="49">-(D23-C23)</f>
        <v>-796</v>
      </c>
      <c r="E51" s="122">
        <f t="shared" si="49"/>
        <v>204</v>
      </c>
      <c r="F51" s="122">
        <f t="shared" si="49"/>
        <v>-802</v>
      </c>
      <c r="G51" s="122">
        <f t="shared" si="49"/>
        <v>-586</v>
      </c>
      <c r="H51" s="122">
        <f t="shared" si="49"/>
        <v>-613</v>
      </c>
      <c r="I51" s="122">
        <f t="shared" si="49"/>
        <v>-1248</v>
      </c>
      <c r="J51" s="122">
        <f t="shared" ref="J51" si="50">-(J23-I23)</f>
        <v>-237.67386740181064</v>
      </c>
      <c r="K51" s="122">
        <f t="shared" ref="K51" si="51">-(K23-J23)</f>
        <v>-978.05107661754118</v>
      </c>
      <c r="L51" s="122">
        <f t="shared" ref="L51" si="52">-(L23-K23)</f>
        <v>-699.34019730747423</v>
      </c>
      <c r="M51" s="122">
        <f t="shared" ref="M51" si="53">-(M23-L23)</f>
        <v>-618.13826338303625</v>
      </c>
      <c r="N51" s="122">
        <f t="shared" ref="N51" si="54">-(N23-M23)</f>
        <v>-777.56508612016842</v>
      </c>
      <c r="O51" s="185"/>
      <c r="P51" s="185"/>
      <c r="Q51" s="161"/>
      <c r="R51" s="122"/>
    </row>
    <row r="52" spans="1:19" x14ac:dyDescent="0.3">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0">
        <f>-'Segmental forecast'!J14</f>
        <v>-739.98761279347923</v>
      </c>
      <c r="K52" s="130">
        <f>-'Segmental forecast'!K14</f>
        <v>-776.35100409996085</v>
      </c>
      <c r="L52" s="130">
        <f>-'Segmental forecast'!L14</f>
        <v>-793.1308565882531</v>
      </c>
      <c r="M52" s="130">
        <f>-'Segmental forecast'!M14</f>
        <v>-830.56348775891195</v>
      </c>
      <c r="N52" s="130">
        <f>-'Segmental forecast'!N14</f>
        <v>-868.465491370515</v>
      </c>
      <c r="O52" s="186"/>
      <c r="P52" s="186"/>
      <c r="Q52" s="162"/>
      <c r="R52" s="130"/>
    </row>
    <row r="53" spans="1:19" x14ac:dyDescent="0.3">
      <c r="A53" s="93" t="s">
        <v>180</v>
      </c>
      <c r="B53" s="94">
        <f>B52+B49+B55+B56</f>
        <v>6688</v>
      </c>
      <c r="C53" s="94">
        <f t="shared" ref="C53:N53" si="55">C52+C49+C55+C56</f>
        <v>5847</v>
      </c>
      <c r="D53" s="94">
        <f t="shared" si="55"/>
        <v>6983</v>
      </c>
      <c r="E53" s="94">
        <f t="shared" si="55"/>
        <v>7777</v>
      </c>
      <c r="F53" s="94">
        <f t="shared" si="55"/>
        <v>8877</v>
      </c>
      <c r="G53" s="94">
        <f t="shared" si="55"/>
        <v>3347</v>
      </c>
      <c r="H53" s="94">
        <f t="shared" si="55"/>
        <v>11708</v>
      </c>
      <c r="I53" s="94">
        <f t="shared" si="55"/>
        <v>10055</v>
      </c>
      <c r="J53" s="98">
        <f t="shared" si="55"/>
        <v>12638.887814343043</v>
      </c>
      <c r="K53" s="98">
        <f t="shared" si="55"/>
        <v>15394.114618741422</v>
      </c>
      <c r="L53" s="98">
        <f t="shared" si="55"/>
        <v>19127.393601070486</v>
      </c>
      <c r="M53" s="98">
        <f t="shared" si="55"/>
        <v>23699.892654713109</v>
      </c>
      <c r="N53" s="98">
        <f t="shared" si="55"/>
        <v>27553.043737825486</v>
      </c>
      <c r="O53" s="178"/>
      <c r="P53" s="178"/>
      <c r="Q53" s="97"/>
      <c r="R53" s="94"/>
    </row>
    <row r="54" spans="1:19" x14ac:dyDescent="0.3">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50"/>
      <c r="K54" s="50"/>
      <c r="L54" s="50"/>
      <c r="M54" s="50"/>
      <c r="N54" s="50"/>
      <c r="O54" s="157"/>
      <c r="P54" s="157" t="s">
        <v>240</v>
      </c>
      <c r="Q54" s="158"/>
      <c r="R54" s="69"/>
    </row>
    <row r="55" spans="1:19" x14ac:dyDescent="0.3">
      <c r="A55" s="112" t="s">
        <v>182</v>
      </c>
      <c r="B55" s="113">
        <f>B49+B47-(-B51)+B54</f>
        <v>4680</v>
      </c>
      <c r="C55" s="113">
        <f t="shared" ref="C55:N55" si="56">C49+C47-(-C51)+C54</f>
        <v>3096</v>
      </c>
      <c r="D55" s="113">
        <f t="shared" si="56"/>
        <v>3846</v>
      </c>
      <c r="E55" s="113">
        <f t="shared" si="56"/>
        <v>4955</v>
      </c>
      <c r="F55" s="113">
        <f t="shared" si="56"/>
        <v>5903</v>
      </c>
      <c r="G55" s="113">
        <f t="shared" si="56"/>
        <v>2485</v>
      </c>
      <c r="H55" s="113">
        <f t="shared" si="56"/>
        <v>6657</v>
      </c>
      <c r="I55" s="113">
        <f t="shared" si="56"/>
        <v>5188</v>
      </c>
      <c r="J55" s="113">
        <f t="shared" si="56"/>
        <v>6945.4172369718135</v>
      </c>
      <c r="K55" s="113">
        <f t="shared" si="56"/>
        <v>7980.8325797882353</v>
      </c>
      <c r="L55" s="113">
        <f t="shared" si="56"/>
        <v>9999.1689992668489</v>
      </c>
      <c r="M55" s="113">
        <f t="shared" si="56"/>
        <v>12360.007047674544</v>
      </c>
      <c r="N55" s="113">
        <f t="shared" si="56"/>
        <v>14240.598176803876</v>
      </c>
      <c r="O55" s="176"/>
      <c r="P55" s="176"/>
      <c r="Q55" s="152"/>
      <c r="R55" s="94"/>
    </row>
    <row r="56" spans="1:19" x14ac:dyDescent="0.3">
      <c r="A56" s="103" t="s">
        <v>183</v>
      </c>
      <c r="B56" s="102"/>
      <c r="C56" s="102"/>
      <c r="D56" s="102"/>
      <c r="E56" s="102"/>
      <c r="F56" s="102"/>
      <c r="G56" s="102"/>
      <c r="H56" s="102"/>
      <c r="I56" s="102"/>
      <c r="J56" s="127"/>
      <c r="K56" s="127"/>
      <c r="L56" s="127"/>
      <c r="M56" s="127"/>
      <c r="N56" s="127"/>
      <c r="O56" s="150"/>
      <c r="P56" s="150"/>
      <c r="Q56" s="150"/>
      <c r="R56" s="127"/>
    </row>
    <row r="57" spans="1:19" x14ac:dyDescent="0.3">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5"/>
      <c r="K57" s="145"/>
      <c r="L57" s="145"/>
      <c r="M57" s="145"/>
      <c r="N57" s="145"/>
      <c r="O57" s="157"/>
      <c r="P57" s="157" t="s">
        <v>240</v>
      </c>
      <c r="Q57" s="163"/>
      <c r="R57" s="131"/>
    </row>
    <row r="58" spans="1:19" x14ac:dyDescent="0.3">
      <c r="A58" s="112" t="s">
        <v>185</v>
      </c>
      <c r="B58" s="113">
        <f>B52+B57</f>
        <v>-175</v>
      </c>
      <c r="C58" s="113">
        <f t="shared" ref="C58:N58" si="57">C52+C57</f>
        <v>-1034</v>
      </c>
      <c r="D58" s="113">
        <f t="shared" si="57"/>
        <v>-1008</v>
      </c>
      <c r="E58" s="113">
        <f t="shared" si="57"/>
        <v>276</v>
      </c>
      <c r="F58" s="113">
        <f t="shared" si="57"/>
        <v>-264</v>
      </c>
      <c r="G58" s="113">
        <f t="shared" si="57"/>
        <v>-1028</v>
      </c>
      <c r="H58" s="113">
        <f t="shared" si="57"/>
        <v>-3800</v>
      </c>
      <c r="I58" s="113">
        <f t="shared" si="57"/>
        <v>-1524</v>
      </c>
      <c r="J58" s="132">
        <f t="shared" si="57"/>
        <v>-739.98761279347923</v>
      </c>
      <c r="K58" s="132">
        <f t="shared" si="57"/>
        <v>-776.35100409996085</v>
      </c>
      <c r="L58" s="132">
        <f t="shared" si="57"/>
        <v>-793.1308565882531</v>
      </c>
      <c r="M58" s="132">
        <f t="shared" si="57"/>
        <v>-830.56348775891195</v>
      </c>
      <c r="N58" s="132">
        <f t="shared" si="57"/>
        <v>-868.465491370515</v>
      </c>
      <c r="O58" s="179"/>
      <c r="P58" s="179"/>
      <c r="Q58" s="164"/>
      <c r="R58" s="139"/>
    </row>
    <row r="59" spans="1:19" x14ac:dyDescent="0.3">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6">
        <f>I59</f>
        <v>-2863</v>
      </c>
      <c r="K59" s="146">
        <f t="shared" ref="K59:N59" si="58">J59</f>
        <v>-2863</v>
      </c>
      <c r="L59" s="146">
        <f t="shared" si="58"/>
        <v>-2863</v>
      </c>
      <c r="M59" s="146">
        <f t="shared" si="58"/>
        <v>-2863</v>
      </c>
      <c r="N59" s="146">
        <f t="shared" si="58"/>
        <v>-2863</v>
      </c>
      <c r="O59" s="165"/>
      <c r="P59" s="165"/>
      <c r="Q59" s="163"/>
      <c r="R59" t="s">
        <v>223</v>
      </c>
    </row>
    <row r="60" spans="1:19" x14ac:dyDescent="0.3">
      <c r="A60" s="104" t="s">
        <v>129</v>
      </c>
      <c r="B60" s="60" t="str">
        <f>IFERROR((B59-A59)/A59,"nm")</f>
        <v>nm</v>
      </c>
      <c r="C60" s="60">
        <f t="shared" ref="C60:I60" si="59">IFERROR((C59-B59)/B59,"nm")</f>
        <v>0.35198019801980196</v>
      </c>
      <c r="D60" s="60">
        <f t="shared" si="59"/>
        <v>1.0984987184181618E-3</v>
      </c>
      <c r="E60" s="60">
        <f t="shared" si="59"/>
        <v>0.28785662033650328</v>
      </c>
      <c r="F60" s="60">
        <f t="shared" si="59"/>
        <v>1.8460664583925021E-2</v>
      </c>
      <c r="G60" s="60">
        <f t="shared" si="59"/>
        <v>-0.39152258784160626</v>
      </c>
      <c r="H60" s="60">
        <f t="shared" si="59"/>
        <v>-1.2584784601283225</v>
      </c>
      <c r="I60" s="60">
        <f t="shared" si="59"/>
        <v>-6.0762411347517729</v>
      </c>
      <c r="J60" s="82">
        <f>AVERAGE(C60:I60)*(1+$S$60)</f>
        <v>-1.060026930159458</v>
      </c>
      <c r="K60" s="82">
        <f t="shared" ref="K60:N60" si="60">AVERAGE(D60:J60)*(1+$S$60)</f>
        <v>-1.2718279993863471</v>
      </c>
      <c r="L60" s="82">
        <f t="shared" si="60"/>
        <v>-1.4627669741020619</v>
      </c>
      <c r="M60" s="82">
        <f t="shared" si="60"/>
        <v>-1.7253605132678465</v>
      </c>
      <c r="N60" s="82">
        <f t="shared" si="60"/>
        <v>-1.9869336899456123</v>
      </c>
      <c r="O60" s="148"/>
      <c r="P60" s="148" t="s">
        <v>241</v>
      </c>
      <c r="Q60" s="155"/>
      <c r="R60" s="60"/>
      <c r="S60" s="135">
        <v>0.05</v>
      </c>
    </row>
    <row r="61" spans="1:19" x14ac:dyDescent="0.3">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5">
        <f>-J17*J15</f>
        <v>-1890.2917793724414</v>
      </c>
      <c r="K61" s="145">
        <f t="shared" ref="K61:N61" si="61">-K17*K15</f>
        <v>-2426.2393095117245</v>
      </c>
      <c r="L61" s="145">
        <f t="shared" si="61"/>
        <v>-2955.804799083588</v>
      </c>
      <c r="M61" s="145">
        <f t="shared" si="61"/>
        <v>-3637.8720136764987</v>
      </c>
      <c r="N61" s="145">
        <f t="shared" si="61"/>
        <v>-4237.441298830855</v>
      </c>
      <c r="O61" s="165"/>
      <c r="P61" s="165" t="s">
        <v>242</v>
      </c>
      <c r="Q61" s="165"/>
      <c r="R61" s="145"/>
      <c r="S61" s="142"/>
    </row>
    <row r="62" spans="1:19" x14ac:dyDescent="0.3">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5"/>
      <c r="K62" s="145"/>
      <c r="L62" s="145"/>
      <c r="M62" s="145"/>
      <c r="N62" s="145"/>
      <c r="O62" s="157"/>
      <c r="P62" s="157" t="s">
        <v>240</v>
      </c>
      <c r="Q62" s="163"/>
    </row>
    <row r="63" spans="1:19" x14ac:dyDescent="0.3">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5"/>
      <c r="K63" s="145"/>
      <c r="L63" s="145"/>
      <c r="M63" s="145"/>
      <c r="N63" s="145"/>
      <c r="O63" s="157"/>
      <c r="P63" s="157" t="s">
        <v>240</v>
      </c>
      <c r="Q63" s="163"/>
      <c r="R63" s="131"/>
    </row>
    <row r="64" spans="1:19" x14ac:dyDescent="0.3">
      <c r="A64" s="112" t="s">
        <v>190</v>
      </c>
      <c r="B64" s="113">
        <f>B59+B61+B62+B63</f>
        <v>-2790</v>
      </c>
      <c r="C64" s="113">
        <f t="shared" ref="C64:N64" si="62">C59+C61+C62+C63</f>
        <v>-2671</v>
      </c>
      <c r="D64" s="113">
        <f t="shared" si="62"/>
        <v>-2148</v>
      </c>
      <c r="E64" s="113">
        <f t="shared" si="62"/>
        <v>-4835</v>
      </c>
      <c r="F64" s="113">
        <f t="shared" si="62"/>
        <v>-5293</v>
      </c>
      <c r="G64" s="113">
        <f t="shared" si="62"/>
        <v>2491</v>
      </c>
      <c r="H64" s="113">
        <f t="shared" si="62"/>
        <v>-1459</v>
      </c>
      <c r="I64" s="113">
        <f t="shared" si="62"/>
        <v>-4836</v>
      </c>
      <c r="J64" s="113">
        <f t="shared" si="62"/>
        <v>-4753.2917793724409</v>
      </c>
      <c r="K64" s="113">
        <f t="shared" si="62"/>
        <v>-5289.2393095117241</v>
      </c>
      <c r="L64" s="113">
        <f t="shared" si="62"/>
        <v>-5818.8047990835876</v>
      </c>
      <c r="M64" s="113">
        <f t="shared" si="62"/>
        <v>-6500.8720136764987</v>
      </c>
      <c r="N64" s="113">
        <f t="shared" si="62"/>
        <v>-7100.441298830855</v>
      </c>
      <c r="O64" s="176"/>
      <c r="P64" s="176"/>
      <c r="Q64" s="152"/>
      <c r="R64" s="94"/>
    </row>
    <row r="65" spans="1:19" x14ac:dyDescent="0.3">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5"/>
      <c r="K65" s="145"/>
      <c r="L65" s="145"/>
      <c r="M65" s="145"/>
      <c r="N65" s="145"/>
      <c r="O65" s="157"/>
      <c r="P65" s="157" t="s">
        <v>240</v>
      </c>
      <c r="Q65" s="163"/>
      <c r="R65" s="131"/>
    </row>
    <row r="66" spans="1:19" x14ac:dyDescent="0.3">
      <c r="A66" s="112" t="s">
        <v>192</v>
      </c>
      <c r="B66" s="113">
        <f>B55+B58+B64+B65</f>
        <v>1632</v>
      </c>
      <c r="C66" s="113">
        <f t="shared" ref="C66:N66" si="63">C55+C58+C64+C65</f>
        <v>-714</v>
      </c>
      <c r="D66" s="113">
        <f t="shared" si="63"/>
        <v>670</v>
      </c>
      <c r="E66" s="113">
        <f t="shared" si="63"/>
        <v>441</v>
      </c>
      <c r="F66" s="113">
        <f t="shared" si="63"/>
        <v>217</v>
      </c>
      <c r="G66" s="113">
        <f t="shared" si="63"/>
        <v>3882</v>
      </c>
      <c r="H66" s="113">
        <f t="shared" si="63"/>
        <v>1541</v>
      </c>
      <c r="I66" s="113">
        <f t="shared" si="63"/>
        <v>-1315</v>
      </c>
      <c r="J66" s="113">
        <f t="shared" si="63"/>
        <v>1452.1378448058931</v>
      </c>
      <c r="K66" s="113">
        <f t="shared" si="63"/>
        <v>1915.2422661765504</v>
      </c>
      <c r="L66" s="113">
        <f t="shared" si="63"/>
        <v>3387.2333435950077</v>
      </c>
      <c r="M66" s="113">
        <f t="shared" si="63"/>
        <v>5028.5715462391327</v>
      </c>
      <c r="N66" s="113">
        <f t="shared" si="63"/>
        <v>6271.691386602507</v>
      </c>
      <c r="O66" s="176"/>
      <c r="P66" s="176"/>
      <c r="Q66" s="152"/>
      <c r="R66" s="94"/>
    </row>
    <row r="67" spans="1:19" x14ac:dyDescent="0.3">
      <c r="A67" s="103" t="s">
        <v>193</v>
      </c>
      <c r="B67" s="102">
        <f>Historicals!B97</f>
        <v>2220</v>
      </c>
      <c r="C67" s="102">
        <f>B68</f>
        <v>3852</v>
      </c>
      <c r="D67" s="102">
        <f t="shared" ref="D67:I67" si="64">C68</f>
        <v>3138</v>
      </c>
      <c r="E67" s="102">
        <f t="shared" si="64"/>
        <v>3808</v>
      </c>
      <c r="F67" s="102">
        <f t="shared" si="64"/>
        <v>4249</v>
      </c>
      <c r="G67" s="102">
        <f t="shared" si="64"/>
        <v>4466</v>
      </c>
      <c r="H67" s="102">
        <f t="shared" si="64"/>
        <v>8348</v>
      </c>
      <c r="I67" s="102">
        <f t="shared" si="64"/>
        <v>9889</v>
      </c>
      <c r="J67" s="102">
        <f t="shared" ref="J67" si="65">I68</f>
        <v>8574</v>
      </c>
      <c r="K67" s="102">
        <f t="shared" ref="K67" si="66">J68</f>
        <v>10026.137844805893</v>
      </c>
      <c r="L67" s="102">
        <f t="shared" ref="L67" si="67">K68</f>
        <v>11941.380110982444</v>
      </c>
      <c r="M67" s="102">
        <f t="shared" ref="M67" si="68">L68</f>
        <v>15328.613454577451</v>
      </c>
      <c r="N67" s="102">
        <f t="shared" ref="N67" si="69">M68</f>
        <v>20357.185000816586</v>
      </c>
      <c r="O67" s="178"/>
      <c r="P67" s="178"/>
      <c r="Q67" s="166"/>
      <c r="R67" s="102"/>
    </row>
    <row r="68" spans="1:19" ht="15" thickBot="1" x14ac:dyDescent="0.35">
      <c r="A68" s="105" t="s">
        <v>194</v>
      </c>
      <c r="B68" s="106">
        <f>B66+B67</f>
        <v>3852</v>
      </c>
      <c r="C68" s="106">
        <f t="shared" ref="C68:N68" si="70">C66+C67</f>
        <v>3138</v>
      </c>
      <c r="D68" s="106">
        <f t="shared" si="70"/>
        <v>3808</v>
      </c>
      <c r="E68" s="106">
        <f t="shared" si="70"/>
        <v>4249</v>
      </c>
      <c r="F68" s="106">
        <f t="shared" si="70"/>
        <v>4466</v>
      </c>
      <c r="G68" s="106">
        <f t="shared" si="70"/>
        <v>8348</v>
      </c>
      <c r="H68" s="106">
        <f t="shared" si="70"/>
        <v>9889</v>
      </c>
      <c r="I68" s="106">
        <f t="shared" si="70"/>
        <v>8574</v>
      </c>
      <c r="J68" s="106">
        <f t="shared" si="70"/>
        <v>10026.137844805893</v>
      </c>
      <c r="K68" s="106">
        <f t="shared" si="70"/>
        <v>11941.380110982444</v>
      </c>
      <c r="L68" s="106">
        <f t="shared" si="70"/>
        <v>15328.613454577451</v>
      </c>
      <c r="M68" s="106">
        <f t="shared" si="70"/>
        <v>20357.185000816586</v>
      </c>
      <c r="N68" s="106">
        <f t="shared" si="70"/>
        <v>26628.876387419092</v>
      </c>
      <c r="O68" s="176"/>
      <c r="P68" s="176"/>
      <c r="Q68" s="152"/>
      <c r="R68" s="94"/>
    </row>
    <row r="69" spans="1:19" ht="15" thickTop="1" x14ac:dyDescent="0.3">
      <c r="A69" s="117" t="s">
        <v>195</v>
      </c>
      <c r="B69" s="116">
        <f>B21-B68</f>
        <v>0</v>
      </c>
      <c r="C69" s="116">
        <f t="shared" ref="C69:I69" si="71">C21-C68</f>
        <v>0</v>
      </c>
      <c r="D69" s="116">
        <f t="shared" si="71"/>
        <v>0</v>
      </c>
      <c r="E69" s="116">
        <f t="shared" si="71"/>
        <v>0</v>
      </c>
      <c r="F69" s="116">
        <f t="shared" si="71"/>
        <v>0</v>
      </c>
      <c r="G69" s="116">
        <f t="shared" si="71"/>
        <v>0</v>
      </c>
      <c r="H69" s="116">
        <f t="shared" si="71"/>
        <v>0</v>
      </c>
      <c r="I69" s="116">
        <f t="shared" si="71"/>
        <v>0</v>
      </c>
      <c r="J69" s="116"/>
      <c r="K69" s="116"/>
      <c r="L69" s="116"/>
      <c r="M69" s="116"/>
      <c r="N69" s="116"/>
      <c r="O69" s="180"/>
      <c r="P69" s="180"/>
      <c r="Q69" s="167"/>
      <c r="R69" s="116"/>
    </row>
    <row r="70" spans="1:19" x14ac:dyDescent="0.3">
      <c r="B70" s="59"/>
      <c r="C70" s="59"/>
      <c r="D70" s="59"/>
      <c r="E70" s="59"/>
      <c r="F70" s="59"/>
      <c r="G70" s="59"/>
      <c r="H70" s="59"/>
      <c r="I70" s="59"/>
      <c r="J70" s="59"/>
      <c r="K70" s="59"/>
      <c r="L70" s="59"/>
      <c r="M70" s="59"/>
      <c r="N70" s="59"/>
      <c r="O70" s="148"/>
      <c r="P70" s="148"/>
      <c r="Q70" s="168"/>
      <c r="R70" s="70"/>
      <c r="S70" t="s">
        <v>200</v>
      </c>
    </row>
    <row r="71" spans="1:19" x14ac:dyDescent="0.3">
      <c r="B71" s="59"/>
      <c r="C71" s="59"/>
      <c r="D71" s="59"/>
      <c r="E71" s="59"/>
      <c r="F71" s="59"/>
      <c r="G71" s="59"/>
      <c r="H71" s="59"/>
      <c r="I71" s="59"/>
    </row>
    <row r="73" spans="1:19" x14ac:dyDescent="0.3">
      <c r="A73" s="118">
        <v>2014</v>
      </c>
      <c r="B73" s="118"/>
    </row>
    <row r="74" spans="1:19" x14ac:dyDescent="0.3">
      <c r="A74" s="118" t="s">
        <v>35</v>
      </c>
      <c r="B74" s="119">
        <v>2922</v>
      </c>
    </row>
    <row r="75" spans="1:19" x14ac:dyDescent="0.3">
      <c r="A75" s="118" t="s">
        <v>197</v>
      </c>
      <c r="B75" s="119">
        <v>3434</v>
      </c>
    </row>
    <row r="76" spans="1:19" x14ac:dyDescent="0.3">
      <c r="A76" s="118" t="s">
        <v>198</v>
      </c>
      <c r="B76" s="119">
        <v>1930</v>
      </c>
    </row>
    <row r="77" spans="1:19" x14ac:dyDescent="0.3">
      <c r="A77" s="120" t="s">
        <v>159</v>
      </c>
      <c r="B77" s="121">
        <f>(+B74+B75)-B76</f>
        <v>4426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2023-10-27T16:46:00Z</dcterms:modified>
</cp:coreProperties>
</file>