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E5FAF22-5657-4A2F-AAC8-5FAB8561F11C}" xr6:coauthVersionLast="47" xr6:coauthVersionMax="47" xr10:uidLastSave="{00000000-0000-0000-0000-000000000000}"/>
  <bookViews>
    <workbookView xWindow="-120" yWindow="-120" windowWidth="20730" windowHeight="1116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5" l="1"/>
  <c r="S16" i="5"/>
  <c r="R16" i="5"/>
  <c r="C27" i="5"/>
  <c r="R25" i="5"/>
  <c r="Q25" i="5"/>
  <c r="P25" i="5"/>
  <c r="O25" i="5"/>
  <c r="N25" i="5"/>
  <c r="S17" i="5"/>
  <c r="P17" i="5"/>
  <c r="Q17" i="5"/>
  <c r="R17" i="5"/>
  <c r="C28" i="5" s="1"/>
  <c r="C29" i="5" s="1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E17" i="5" l="1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J9" i="5" l="1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<sst xmlns="http://schemas.openxmlformats.org/spreadsheetml/2006/main" count="599" uniqueCount="265">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</sst>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164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6" fontId="0" fillId="0" borderId="0" xfId="2" applyNumberFormat="1" applyFont="1" applyFill="1"/>
    <xf numFmtId="165" fontId="0" fillId="0" borderId="0" xfId="1" applyNumberFormat="1" applyFont="1" applyBorder="1"/>
    <xf numFmtId="166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13" borderId="0" xfId="0" applyFill="1"/>
    <xf numFmtId="4" fontId="2" fillId="0" borderId="0" xfId="0" applyNumberFormat="1" applyFont="1"/>
    <xf numFmtId="2" fontId="0" fillId="14" borderId="0" xfId="0" applyNumberFormat="1" applyFill="1"/>
    <xf numFmtId="1" fontId="0" fillId="14" borderId="0" xfId="0" applyNumberFormat="1" applyFill="1"/>
    <xf numFmtId="3" fontId="2" fillId="14" borderId="0" xfId="0" applyNumberFormat="1" applyFont="1" applyFill="1"/>
    <xf numFmtId="0" fontId="0" fillId="14" borderId="0" xfId="0" applyFill="1"/>
    <xf numFmtId="165" fontId="0" fillId="14" borderId="0" xfId="0" applyNumberFormat="1" applyFill="1"/>
    <xf numFmtId="43" fontId="0" fillId="14" borderId="0" xfId="0" applyNumberFormat="1" applyFill="1"/>
    <xf numFmtId="166" fontId="19" fillId="14" borderId="0" xfId="2" applyNumberFormat="1" applyFont="1" applyFill="1" applyAlignment="1">
      <alignment horizontal="left"/>
    </xf>
    <xf numFmtId="166" fontId="19" fillId="14" borderId="0" xfId="2" applyNumberFormat="1" applyFont="1" applyFill="1" applyAlignment="1">
      <alignment horizontal="right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246</v>
      </c>
    </row>
    <row r="2" spans="1:1" x14ac:dyDescent="0.25">
      <c r="A2" s="164" t="s">
        <v>247</v>
      </c>
    </row>
    <row r="3" spans="1:1" x14ac:dyDescent="0.25">
      <c r="A3" s="165"/>
    </row>
    <row r="4" spans="1:1" ht="23.25" x14ac:dyDescent="0.35">
      <c r="A4" s="18" t="s">
        <v>20</v>
      </c>
    </row>
    <row r="5" spans="1:1" x14ac:dyDescent="0.25">
      <c r="A5" s="166" t="s">
        <v>248</v>
      </c>
    </row>
    <row r="6" spans="1:1" x14ac:dyDescent="0.25">
      <c r="A6" s="166" t="s">
        <v>249</v>
      </c>
    </row>
    <row r="7" spans="1:1" x14ac:dyDescent="0.25">
      <c r="A7" s="167" t="s">
        <v>250</v>
      </c>
    </row>
    <row r="8" spans="1:1" x14ac:dyDescent="0.25">
      <c r="A8" s="166" t="s">
        <v>251</v>
      </c>
    </row>
    <row r="9" spans="1:1" x14ac:dyDescent="0.25">
      <c r="A9" s="19" t="s">
        <v>252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0" zoomScale="90" zoomScaleNormal="90" workbookViewId="0">
      <selection activeCell="N53" sqref="N5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4.570312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G1" workbookViewId="0">
      <selection activeCell="N9" sqref="N9"/>
    </sheetView>
  </sheetViews>
  <sheetFormatPr defaultRowHeight="15" x14ac:dyDescent="0.25"/>
  <cols>
    <col min="1" max="1" width="42.28515625" customWidth="1"/>
    <col min="2" max="2" width="15.71093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8" customWidth="1"/>
    <col min="12" max="12" width="9.28515625" customWidth="1"/>
    <col min="13" max="13" width="44.85546875" customWidth="1"/>
    <col min="14" max="14" width="11.85546875" bestFit="1" customWidth="1"/>
    <col min="19" max="19" width="10.5703125" bestFit="1" customWidth="1"/>
  </cols>
  <sheetData>
    <row r="1" spans="1:25" ht="75.75" customHeight="1" x14ac:dyDescent="0.25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264</v>
      </c>
      <c r="L1" s="153" t="s">
        <v>20</v>
      </c>
      <c r="M1" s="153" t="s">
        <v>263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25">
      <c r="A6" t="s">
        <v>245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256</v>
      </c>
      <c r="M6" s="149"/>
    </row>
    <row r="7" spans="1:25" x14ac:dyDescent="0.25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25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256</v>
      </c>
      <c r="M10" s="149"/>
    </row>
    <row r="11" spans="1:25" x14ac:dyDescent="0.25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257</v>
      </c>
      <c r="M11" s="148"/>
    </row>
    <row r="12" spans="1:25" x14ac:dyDescent="0.25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258</v>
      </c>
      <c r="M12" s="136"/>
    </row>
    <row r="16" spans="1:25" x14ac:dyDescent="0.25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255</v>
      </c>
      <c r="M16" s="177" t="s">
        <v>260</v>
      </c>
      <c r="N16" s="178">
        <f>'Three Statements'!J53</f>
        <v>12638.887814343043</v>
      </c>
      <c r="O16" s="178">
        <f>'Three Statements'!K53</f>
        <v>15392.527303202496</v>
      </c>
      <c r="P16" s="178">
        <f>'Three Statements'!L53</f>
        <v>19123.637007867692</v>
      </c>
      <c r="Q16" s="178">
        <f>'Three Statements'!M53</f>
        <v>23693.158239864442</v>
      </c>
      <c r="R16" s="178">
        <f>'Three Statements'!N53</f>
        <v>27541.987206777572</v>
      </c>
      <c r="S16" s="179">
        <f>R16*(1+8%)</f>
        <v>29745.34618331978</v>
      </c>
    </row>
    <row r="17" spans="1:25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170"/>
      <c r="L17" s="171"/>
      <c r="M17" s="180" t="s">
        <v>259</v>
      </c>
      <c r="N17" s="181">
        <f>IFERROR((N16-J16)/J16,"nm")</f>
        <v>0.25697541664276907</v>
      </c>
      <c r="O17" s="181">
        <f>IFERROR((O16-N16)/N16,"nm")</f>
        <v>0.21787039566365396</v>
      </c>
      <c r="P17" s="181">
        <f t="shared" ref="P17:R17" si="3">IFERROR((P16-O16)/O16,"nm")</f>
        <v>0.24239747191410982</v>
      </c>
      <c r="Q17" s="181">
        <f t="shared" si="3"/>
        <v>0.23894624386129035</v>
      </c>
      <c r="R17" s="181">
        <f t="shared" si="3"/>
        <v>0.16244474155570196</v>
      </c>
      <c r="S17" s="181">
        <f>IFERROR((S16-R16)/R16,"nm")</f>
        <v>8.0000000000000057E-2</v>
      </c>
      <c r="T17" s="172"/>
      <c r="U17" s="172"/>
      <c r="V17" s="172"/>
      <c r="W17" s="172"/>
      <c r="X17" s="172"/>
      <c r="Y17" s="172"/>
    </row>
    <row r="18" spans="1:25" x14ac:dyDescent="0.25">
      <c r="A18" t="s">
        <v>215</v>
      </c>
      <c r="C18" s="161">
        <f>C24*C23+(1-C24)*C20</f>
        <v>1.7375459658269043E-2</v>
      </c>
      <c r="D18" s="161">
        <f t="shared" ref="D18:J18" si="4">D24*D23+(1-D24)*D20</f>
        <v>0.14409225288362595</v>
      </c>
      <c r="E18" s="161">
        <f t="shared" si="4"/>
        <v>0.24804497865516467</v>
      </c>
      <c r="F18" s="161">
        <f t="shared" si="4"/>
        <v>-5.2142312523149173E-2</v>
      </c>
      <c r="G18" s="161">
        <f t="shared" si="4"/>
        <v>0.34153899460688292</v>
      </c>
      <c r="H18" s="161">
        <f t="shared" si="4"/>
        <v>0.16599537558786676</v>
      </c>
      <c r="I18" s="161">
        <f t="shared" si="4"/>
        <v>0.23920523091512808</v>
      </c>
      <c r="J18" s="161">
        <f t="shared" si="4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25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25">
      <c r="A20" t="s">
        <v>219</v>
      </c>
      <c r="C20" s="136">
        <f>C21+C19*(C22-C21)</f>
        <v>1.7472000000000001E-2</v>
      </c>
      <c r="D20" s="136">
        <f t="shared" ref="D20:J20" si="5">D21+D19*(D22-D21)</f>
        <v>0.158224</v>
      </c>
      <c r="E20" s="136">
        <f t="shared" si="5"/>
        <v>0.28854400000000002</v>
      </c>
      <c r="F20" s="136">
        <f t="shared" si="5"/>
        <v>-6.6342000000000012E-2</v>
      </c>
      <c r="G20" s="136">
        <f t="shared" si="5"/>
        <v>0.4063500000000001</v>
      </c>
      <c r="H20" s="136">
        <f t="shared" si="5"/>
        <v>0.239924</v>
      </c>
      <c r="I20" s="136">
        <f t="shared" si="5"/>
        <v>0.31218399999999996</v>
      </c>
      <c r="J20" s="136">
        <f t="shared" si="5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25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25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8" t="s">
        <v>253</v>
      </c>
      <c r="L22" t="s">
        <v>224</v>
      </c>
      <c r="M22" s="168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25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25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74" t="s">
        <v>262</v>
      </c>
      <c r="N24" s="175"/>
      <c r="O24" s="175"/>
      <c r="P24" s="175"/>
      <c r="Q24" s="175"/>
      <c r="R24" s="176">
        <f>S16*S17/(J18-S17)</f>
        <v>37623.761858775404</v>
      </c>
      <c r="S24" s="136"/>
      <c r="T24" s="136"/>
      <c r="U24" s="136"/>
      <c r="V24" s="136"/>
      <c r="W24" s="136"/>
      <c r="X24" s="136"/>
    </row>
    <row r="25" spans="1:25" x14ac:dyDescent="0.25">
      <c r="A25" t="s">
        <v>228</v>
      </c>
      <c r="J25" s="77"/>
      <c r="L25" t="s">
        <v>229</v>
      </c>
      <c r="M25" s="177" t="s">
        <v>261</v>
      </c>
      <c r="N25" s="178">
        <f>PV($J$18,1,0,-N16,0)</f>
        <v>11055.245942249625</v>
      </c>
      <c r="O25" s="178">
        <f>PV($J$18,2,0,-O16,0)</f>
        <v>11776.846973185056</v>
      </c>
      <c r="P25" s="178">
        <f>PV($J$18,3,0,-P16,0)</f>
        <v>12798.207305004949</v>
      </c>
      <c r="Q25" s="178">
        <f>PV($J$18,4,0,-Q16,0)</f>
        <v>13869.511135808028</v>
      </c>
      <c r="R25" s="178">
        <f>PV($J$18,5,0,-R16,0)</f>
        <v>14102.399729573926</v>
      </c>
    </row>
    <row r="26" spans="1:25" x14ac:dyDescent="0.25">
      <c r="N26" s="77"/>
      <c r="O26" s="77"/>
      <c r="P26" s="77"/>
      <c r="Q26" s="77"/>
      <c r="R26" s="77"/>
    </row>
    <row r="27" spans="1:25" x14ac:dyDescent="0.25">
      <c r="A27" t="s">
        <v>230</v>
      </c>
      <c r="B27" t="s">
        <v>231</v>
      </c>
      <c r="C27" s="163">
        <f>PV(C18,1,0,-C16,0)</f>
        <v>6573.7775926367076</v>
      </c>
      <c r="K27" s="169" t="s">
        <v>254</v>
      </c>
      <c r="M27" s="169"/>
      <c r="N27" s="77"/>
      <c r="O27" s="77"/>
      <c r="P27" s="77"/>
      <c r="Q27" s="77"/>
      <c r="R27" s="77"/>
    </row>
    <row r="28" spans="1:25" x14ac:dyDescent="0.25">
      <c r="A28" t="s">
        <v>232</v>
      </c>
      <c r="B28" t="s">
        <v>231</v>
      </c>
      <c r="C28" s="173">
        <f>PV(J18,5,0,-R24,0)</f>
        <v>19264.598631872897</v>
      </c>
      <c r="N28" s="77"/>
      <c r="O28" s="77"/>
      <c r="P28" s="77"/>
      <c r="Q28" s="77"/>
      <c r="R28" s="77"/>
    </row>
    <row r="29" spans="1:25" x14ac:dyDescent="0.25">
      <c r="A29" t="s">
        <v>233</v>
      </c>
      <c r="B29" t="s">
        <v>234</v>
      </c>
      <c r="C29" s="149">
        <f>C27+C28</f>
        <v>25838.376224509604</v>
      </c>
    </row>
    <row r="30" spans="1:25" x14ac:dyDescent="0.25">
      <c r="A30" t="s">
        <v>235</v>
      </c>
      <c r="C30" s="8">
        <f>'Three Statements'!B36+'Three Statements'!B32</f>
        <v>1260</v>
      </c>
      <c r="K30" s="8"/>
      <c r="M30" s="8"/>
    </row>
    <row r="31" spans="1:25" x14ac:dyDescent="0.25">
      <c r="A31" t="s">
        <v>236</v>
      </c>
      <c r="C31" s="149">
        <f>'Three Statements'!B15*CAPM_PV!C3</f>
        <v>97507.942601980976</v>
      </c>
      <c r="K31" s="149"/>
      <c r="M31" s="149"/>
    </row>
    <row r="32" spans="1:25" x14ac:dyDescent="0.25">
      <c r="A32" t="s">
        <v>237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238</v>
      </c>
      <c r="B1" t="s">
        <v>239</v>
      </c>
      <c r="C1" t="s">
        <v>240</v>
      </c>
      <c r="D1" t="s">
        <v>241</v>
      </c>
      <c r="E1" t="s">
        <v>242</v>
      </c>
      <c r="F1" t="s">
        <v>243</v>
      </c>
      <c r="G1" t="s">
        <v>244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2023-11-23T17:59:57Z</dcterms:modified>
</cp:coreProperties>
</file>