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24699A84-8DC4-4545-B5E0-5106945E8B30}" xr6:coauthVersionLast="36" xr6:coauthVersionMax="36" xr10:uidLastSave="{00000000-0000-0000-0000-000000000000}"/>
  <bookViews>
    <workbookView xWindow="7120" yWindow="500" windowWidth="20660" windowHeight="121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3" l="1"/>
  <c r="E68" i="3"/>
  <c r="C68" i="3"/>
  <c r="D67" i="3"/>
  <c r="E67" i="3"/>
  <c r="C67" i="3"/>
  <c r="D66" i="3"/>
  <c r="E66" i="3"/>
  <c r="C66" i="3"/>
  <c r="D64" i="3"/>
  <c r="E64" i="3"/>
  <c r="C64" i="3"/>
  <c r="E62" i="3"/>
  <c r="D63" i="3"/>
  <c r="E63" i="3"/>
  <c r="C63" i="3"/>
  <c r="D62" i="3"/>
  <c r="C62" i="3"/>
  <c r="D61" i="3"/>
  <c r="E61" i="3"/>
  <c r="C61" i="3"/>
  <c r="D60" i="3"/>
  <c r="E60" i="3"/>
  <c r="C60" i="3"/>
  <c r="E59" i="3"/>
  <c r="D59" i="3"/>
  <c r="C59" i="3"/>
  <c r="D57" i="3"/>
  <c r="C57" i="3"/>
  <c r="D56" i="3"/>
  <c r="C56" i="3"/>
  <c r="D55" i="3"/>
  <c r="C55" i="3"/>
  <c r="D54" i="3"/>
  <c r="C54" i="3"/>
  <c r="D53" i="3"/>
  <c r="C53" i="3"/>
  <c r="E51" i="3"/>
  <c r="D51" i="3"/>
  <c r="D50" i="3" s="1"/>
  <c r="C51" i="3"/>
  <c r="C50" i="3" s="1"/>
  <c r="D45" i="3"/>
  <c r="E45" i="3"/>
  <c r="C45" i="3"/>
  <c r="D43" i="3"/>
  <c r="E43" i="3"/>
  <c r="C43" i="3"/>
  <c r="E41" i="3"/>
  <c r="D41" i="3"/>
  <c r="C41" i="3"/>
  <c r="D35" i="3"/>
  <c r="E35" i="3"/>
  <c r="C35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C26" i="3"/>
  <c r="D25" i="3"/>
  <c r="E25" i="3"/>
  <c r="C25" i="3"/>
  <c r="D21" i="3"/>
  <c r="D48" i="3" s="1"/>
  <c r="E21" i="3"/>
  <c r="E48" i="3" s="1"/>
  <c r="C21" i="3"/>
  <c r="C48" i="3" s="1"/>
  <c r="D18" i="3"/>
  <c r="C19" i="3"/>
  <c r="C18" i="3" s="1"/>
  <c r="E19" i="3"/>
  <c r="E18" i="3" s="1"/>
  <c r="D19" i="3"/>
  <c r="D8" i="3"/>
  <c r="E8" i="3"/>
  <c r="C8" i="3"/>
  <c r="D9" i="3"/>
  <c r="E9" i="3"/>
  <c r="C9" i="3"/>
  <c r="E50" i="3" l="1"/>
  <c r="D14" i="3" l="1"/>
  <c r="D13" i="3" s="1"/>
  <c r="E14" i="3"/>
  <c r="E13" i="3" s="1"/>
  <c r="C14" i="3"/>
  <c r="C13" i="3" s="1"/>
  <c r="E46" i="3"/>
  <c r="D46" i="3"/>
  <c r="C46" i="3"/>
  <c r="E42" i="3"/>
  <c r="D42" i="3"/>
  <c r="C42" i="3"/>
  <c r="F17" i="1"/>
  <c r="G17" i="1"/>
  <c r="E17" i="1"/>
  <c r="F12" i="1"/>
  <c r="G12" i="1"/>
  <c r="E12" i="1"/>
  <c r="F8" i="1"/>
  <c r="G8" i="1"/>
  <c r="E8" i="1"/>
  <c r="D49" i="3"/>
  <c r="E49" i="3"/>
  <c r="C49" i="3"/>
  <c r="D47" i="3"/>
  <c r="E47" i="3"/>
  <c r="C47" i="3"/>
  <c r="E44" i="3"/>
  <c r="D44" i="3"/>
  <c r="C44" i="3"/>
  <c r="D40" i="3"/>
  <c r="E40" i="3"/>
  <c r="C40" i="3"/>
  <c r="C20" i="3"/>
  <c r="D37" i="3"/>
  <c r="E37" i="3"/>
  <c r="C37" i="3"/>
  <c r="D36" i="3"/>
  <c r="E36" i="3"/>
  <c r="C36" i="3"/>
  <c r="D34" i="3"/>
  <c r="E34" i="3"/>
  <c r="C34" i="3"/>
  <c r="E28" i="3"/>
  <c r="C28" i="3"/>
  <c r="D26" i="3"/>
  <c r="E26" i="3"/>
  <c r="E22" i="3"/>
  <c r="D22" i="3"/>
  <c r="C22" i="3"/>
  <c r="E20" i="3"/>
  <c r="D28" i="3"/>
  <c r="D20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1" i="3" l="1"/>
  <c r="D11" i="3"/>
  <c r="E11" i="3"/>
  <c r="D6" i="3"/>
  <c r="D7" i="3"/>
  <c r="B13" i="1"/>
  <c r="B18" i="1" s="1"/>
  <c r="B20" i="1" s="1"/>
  <c r="B22" i="1" s="1"/>
  <c r="B76" i="1" s="1"/>
  <c r="B91" i="1" s="1"/>
  <c r="B109" i="1" s="1"/>
  <c r="D10" i="3"/>
  <c r="C13" i="1"/>
  <c r="C18" i="1" s="1"/>
  <c r="C20" i="1" s="1"/>
  <c r="C22" i="1" s="1"/>
  <c r="C76" i="1" s="1"/>
  <c r="C91" i="1" s="1"/>
  <c r="C109" i="1" s="1"/>
  <c r="E10" i="3"/>
  <c r="E12" i="3" s="1"/>
  <c r="B48" i="1"/>
  <c r="E6" i="3"/>
  <c r="E7" i="3"/>
  <c r="D13" i="1"/>
  <c r="D18" i="1" s="1"/>
  <c r="D20" i="1" s="1"/>
  <c r="D22" i="1" s="1"/>
  <c r="D76" i="1" s="1"/>
  <c r="D91" i="1" s="1"/>
  <c r="D109" i="1" s="1"/>
  <c r="C10" i="3"/>
  <c r="B62" i="1"/>
  <c r="C7" i="3"/>
  <c r="C6" i="3"/>
  <c r="C62" i="1"/>
  <c r="C69" i="1" s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2" i="3" l="1"/>
  <c r="C12" i="3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<sst xmlns="http://schemas.openxmlformats.org/spreadsheetml/2006/main" count="188" uniqueCount="162">
  <si>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</si>
  <si>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</si>
  <si>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</si>
  <si>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</si>
  <si>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</si>
  <si>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</si>
  <si>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</si>
  <si>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</si>
  <si>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</si>
  <si>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</si>
  <si>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</si>
  <si>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</si>
  <si>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</si>
  <si>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</si>
  <si>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</si>
  <si>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</si>
  <si>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</si>
  <si>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</si>
  <si>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</si>
  <si>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</si>
  <si>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</si>
  <si>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</si>
  <si>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</si>
  <si>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</si>
  <si>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</si>
  <si>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</si>
  <si>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</si>
  <si>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</si>
  <si>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</si>
  <si>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</si>
  <si>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</si>
  <si>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</si>
  <si>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</si>
  <si>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</si>
  <si>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</si>
  <si>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</si>
  <si>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</si>
  <si>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</si>
  <si>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</si>
  <si>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</si>
  <si>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</si>
  <si>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</si>
  <si>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</si>
  <si>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</si>
  <si>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</si>
  <si>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</si>
  <si>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</si>
  <si>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</si>
  <si>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</si>
  <si>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</si>
  <si>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</si>
  <si>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</si>
  <si>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</si>
  <si>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</si>
  <si>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</si>
  <si>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</si>
  <si>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</si>
  <si>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</si>
  <si>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</si>
  <si>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</si>
  <si>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</si>
  <si>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</si>
  <si>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</si>
  <si>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</si>
  <si>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</si>
  <si>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</si>
  <si>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</si>
  <si>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</si>
  <si>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</si>
  <si>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</si>
  <si>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</si>
  <si>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</si>
  <si>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</si>
  <si>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</si>
  <si>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</si>
  <si>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</si>
  <si>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</si>
  <si>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</si>
  <si>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</si>
  <si>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</si>
  <si>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</si>
  <si>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</si>
  <si>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</si>
  <si>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</si>
  <si>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</si>
  <si>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</si>
  <si>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</si>
  <si>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</si>
  <si>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</si>
  <si>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</si>
  <si>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</si>
  <si>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</si>
  <si>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</si>
  <si>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</si>
  <si>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</si>
  <si>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</si>
  <si>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</si>
  <si>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</si>
  <si>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</si>
  <si>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</si>
  <si>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</si>
  <si>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</si>
  <si>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</si>
  <si>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</si>
  <si>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</si>
  <si>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</si>
  <si>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</si>
  <si>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</si>
  <si>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</si>
  <si>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</si>
  <si>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</si>
  <si>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</si>
  <si>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</si>
  <si>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</si>
  <si>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</si>
  <si>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</si>
  <si>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</si>
  <si>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</si>
  <si>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</si>
  <si>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</si>
  <si>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</si>
  <si>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</si>
  <si>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</si>
  <si>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</si>
  <si>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</si>
  <si>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</si>
  <si>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</si>
  <si>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</si>
  <si>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</si>
  <si>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</si>
  <si>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</si>
  <si>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</si>
  <si>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</si>
  <si>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</si>
  <si>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</si>
  <si>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</si>
  <si>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</si>
  <si>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</si>
  <si>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</si>
  <si>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</si>
  <si>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</si>
  <si>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</si>
  <si>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</si>
  <si>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</si>
  <si>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</si>
  <si>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</si>
  <si>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</si>
  <si>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</si>
  <si>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</si>
  <si>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</si>
  <si>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Daily </t>
  </si>
  <si>
    <t xml:space="preserve">Net Sales growth </t>
  </si>
  <si>
    <t xml:space="preserve">Gross profits  growth </t>
  </si>
  <si>
    <t xml:space="preserve">Operating expenses growthh </t>
  </si>
  <si>
    <t xml:space="preserve">Operating income growthh </t>
  </si>
  <si>
    <t xml:space="preserve">Net profit gortwh </t>
  </si>
  <si>
    <t>COGS as a % of net sales</t>
  </si>
  <si>
    <t>Gross profits as a % of net sales</t>
  </si>
  <si>
    <t>Research and Development as a % of net sales</t>
  </si>
  <si>
    <t>Seling, general and administrative and Development as a % of net sales</t>
  </si>
  <si>
    <t xml:space="preserve">Operating income as a % of net sales </t>
  </si>
  <si>
    <t xml:space="preserve">Net profit as a % of net 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</si>
</sst>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000_);\(#,##0.0000\)"/>
    <numFmt numFmtId="166" formatCode="#,##0.00000_);\(#,##0.00000\)"/>
    <numFmt numFmtId="167" formatCode="_(* #,##0.000_);_(* \(#,##0.000\);_(* &quot;-&quot;?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43" fontId="0" fillId="0" borderId="0" xfId="1" applyFont="1"/>
    <xf numFmtId="43" fontId="2" fillId="0" borderId="1" xfId="1" applyFont="1" applyBorder="1"/>
    <xf numFmtId="43" fontId="2" fillId="0" borderId="2" xfId="1" applyFont="1" applyBorder="1"/>
    <xf numFmtId="43" fontId="2" fillId="0" borderId="0" xfId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43" fontId="0" fillId="0" borderId="3" xfId="1" applyFont="1" applyBorder="1"/>
    <xf numFmtId="0" fontId="2" fillId="0" borderId="3" xfId="0" applyFont="1" applyBorder="1" applyAlignment="1">
      <alignment horizontal="left"/>
    </xf>
    <xf numFmtId="0" fontId="0" fillId="0" borderId="0" xfId="0"/>
    <xf numFmtId="4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NumberFormat="1"/>
    <xf numFmtId="39" fontId="0" fillId="0" borderId="0" xfId="0" applyNumberFormat="1"/>
    <xf numFmtId="4" fontId="8" fillId="0" borderId="0" xfId="0" applyNumberFormat="1" applyFont="1"/>
    <xf numFmtId="165" fontId="0" fillId="0" borderId="0" xfId="0" applyNumberFormat="1"/>
    <xf numFmtId="0" fontId="0" fillId="0" borderId="0" xfId="0" applyFont="1" applyAlignment="1">
      <alignment horizontal="left" indent="1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7" fontId="0" fillId="0" borderId="0" xfId="0" applyNumberFormat="1"/>
    <xf numFmtId="2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zoomScale="136" workbookViewId="0">
      <selection activeCell="A25" sqref="A25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33" zoomScale="161" zoomScaleNormal="100" workbookViewId="0">
      <selection activeCell="A96" sqref="A96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5" max="5" width="11.1640625" bestFit="1" customWidth="1"/>
    <col min="6" max="6" width="11.83203125" bestFit="1" customWidth="1"/>
  </cols>
  <sheetData>
    <row r="1" spans="1:11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2">
      <c r="A2" s="35" t="s">
        <v>1</v>
      </c>
      <c r="B2" s="35"/>
      <c r="C2" s="35"/>
      <c r="D2" s="35"/>
    </row>
    <row r="3" spans="1:11" x14ac:dyDescent="0.2">
      <c r="B3" s="34" t="s">
        <v>23</v>
      </c>
      <c r="C3" s="34"/>
      <c r="D3" s="34"/>
      <c r="E3" t="s">
        <v>150</v>
      </c>
    </row>
    <row r="4" spans="1:11" x14ac:dyDescent="0.2">
      <c r="B4" s="7">
        <v>2022</v>
      </c>
      <c r="C4" s="7">
        <v>2021</v>
      </c>
      <c r="D4" s="7">
        <v>2020</v>
      </c>
    </row>
    <row r="5" spans="1:11" x14ac:dyDescent="0.2">
      <c r="A5" t="s">
        <v>3</v>
      </c>
    </row>
    <row r="6" spans="1:11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1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1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25">
        <f>B8/365</f>
        <v>1080.3506849315067</v>
      </c>
      <c r="F8" s="25">
        <f t="shared" ref="F8:G8" si="1">C8/365</f>
        <v>1002.2383561643836</v>
      </c>
      <c r="G8" s="25">
        <f t="shared" si="1"/>
        <v>752.09589041095887</v>
      </c>
    </row>
    <row r="9" spans="1:11" x14ac:dyDescent="0.2">
      <c r="A9" t="s">
        <v>7</v>
      </c>
      <c r="B9" s="12"/>
      <c r="C9" s="12"/>
      <c r="D9" s="12"/>
    </row>
    <row r="10" spans="1:11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1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1" x14ac:dyDescent="0.2">
      <c r="A12" s="8" t="s">
        <v>8</v>
      </c>
      <c r="B12" s="13">
        <f>+B10+B11</f>
        <v>223546</v>
      </c>
      <c r="C12" s="13">
        <f t="shared" ref="C12:D12" si="2">+C10+C11</f>
        <v>212981</v>
      </c>
      <c r="D12" s="13">
        <f t="shared" si="2"/>
        <v>169559</v>
      </c>
      <c r="E12" s="25">
        <f>B12/365</f>
        <v>612.45479452054792</v>
      </c>
      <c r="F12" s="25">
        <f t="shared" ref="F12:G12" si="3">C12/365</f>
        <v>583.50958904109586</v>
      </c>
      <c r="G12" s="25">
        <f t="shared" si="3"/>
        <v>464.54520547945208</v>
      </c>
    </row>
    <row r="13" spans="1:11" x14ac:dyDescent="0.2">
      <c r="A13" s="8" t="s">
        <v>9</v>
      </c>
      <c r="B13" s="13">
        <f>+B8-B12</f>
        <v>170782</v>
      </c>
      <c r="C13" s="13">
        <f t="shared" ref="C13:D13" si="4">+C8-C12</f>
        <v>152836</v>
      </c>
      <c r="D13" s="13">
        <f t="shared" si="4"/>
        <v>104956</v>
      </c>
    </row>
    <row r="14" spans="1:11" x14ac:dyDescent="0.2">
      <c r="A14" t="s">
        <v>10</v>
      </c>
      <c r="B14" s="12"/>
      <c r="C14" s="12"/>
      <c r="D14" s="12"/>
    </row>
    <row r="15" spans="1:11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1" x14ac:dyDescent="0.2">
      <c r="A16" s="1" t="s">
        <v>12</v>
      </c>
      <c r="B16" s="12">
        <v>25094</v>
      </c>
      <c r="C16" s="12">
        <v>21973</v>
      </c>
      <c r="D16" s="12">
        <v>19916</v>
      </c>
      <c r="I16" s="13"/>
      <c r="J16" s="13"/>
      <c r="K16" s="13"/>
    </row>
    <row r="17" spans="1:7" x14ac:dyDescent="0.2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" si="6">+D15+D16</f>
        <v>38668</v>
      </c>
      <c r="E17" s="25">
        <f>B17/365</f>
        <v>140.67123287671234</v>
      </c>
      <c r="F17" s="25">
        <f t="shared" ref="F17:G17" si="7">C17/365</f>
        <v>120.23835616438356</v>
      </c>
      <c r="G17" s="25">
        <f t="shared" si="7"/>
        <v>105.93972602739726</v>
      </c>
    </row>
    <row r="18" spans="1:7" s="21" customFormat="1" x14ac:dyDescent="0.2">
      <c r="A18" s="8" t="s">
        <v>14</v>
      </c>
      <c r="B18" s="13">
        <f>+B13-B17</f>
        <v>119437</v>
      </c>
      <c r="C18" s="13">
        <f t="shared" ref="C18:D18" si="8">+C13-C17</f>
        <v>108949</v>
      </c>
      <c r="D18" s="13">
        <f t="shared" si="8"/>
        <v>66288</v>
      </c>
    </row>
    <row r="19" spans="1:7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">
      <c r="A20" s="8" t="s">
        <v>16</v>
      </c>
      <c r="B20" s="13">
        <f>+B18+B19</f>
        <v>119103</v>
      </c>
      <c r="C20" s="13">
        <f t="shared" ref="C20:D20" si="9">+C18+C19</f>
        <v>109207</v>
      </c>
      <c r="D20" s="13">
        <f t="shared" si="9"/>
        <v>67091</v>
      </c>
    </row>
    <row r="21" spans="1:7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7" ht="16" thickBot="1" x14ac:dyDescent="0.25">
      <c r="A22" s="9" t="s">
        <v>18</v>
      </c>
      <c r="B22" s="14">
        <f>+B20-B21</f>
        <v>99803</v>
      </c>
      <c r="C22" s="14">
        <f t="shared" ref="C22:D22" si="10">+C20-C21</f>
        <v>94680</v>
      </c>
      <c r="D22" s="14">
        <f t="shared" si="10"/>
        <v>57411</v>
      </c>
    </row>
    <row r="23" spans="1:7" ht="16" thickTop="1" x14ac:dyDescent="0.2">
      <c r="A23" t="s">
        <v>19</v>
      </c>
    </row>
    <row r="24" spans="1:7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">
      <c r="A26" t="s">
        <v>22</v>
      </c>
    </row>
    <row r="27" spans="1:7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7" x14ac:dyDescent="0.2">
      <c r="A31" s="35" t="s">
        <v>24</v>
      </c>
      <c r="B31" s="35"/>
      <c r="C31" s="35"/>
      <c r="D31" s="35"/>
    </row>
    <row r="32" spans="1:7" x14ac:dyDescent="0.2">
      <c r="B32" s="34" t="s">
        <v>142</v>
      </c>
      <c r="C32" s="34"/>
      <c r="D32" s="34"/>
    </row>
    <row r="33" spans="1:5" x14ac:dyDescent="0.2">
      <c r="B33" s="7">
        <f>+B4</f>
        <v>2022</v>
      </c>
      <c r="C33" s="7">
        <f t="shared" ref="C33:D33" si="11">+C4</f>
        <v>2021</v>
      </c>
      <c r="D33" s="7">
        <f t="shared" si="11"/>
        <v>2020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D42" si="12">+SUM(C36:C41)</f>
        <v>134836</v>
      </c>
      <c r="D42" s="13">
        <f t="shared" si="12"/>
        <v>143713</v>
      </c>
      <c r="E42" s="24"/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  <c r="E45" s="24"/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</row>
    <row r="48" spans="1:5" ht="16" thickBot="1" x14ac:dyDescent="0.25">
      <c r="A48" s="9" t="s">
        <v>33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</row>
    <row r="49" spans="1:7" ht="16" thickTop="1" x14ac:dyDescent="0.2"/>
    <row r="50" spans="1:7" x14ac:dyDescent="0.2">
      <c r="A50" t="s">
        <v>34</v>
      </c>
    </row>
    <row r="51" spans="1:7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2">
      <c r="A55" s="1" t="s">
        <v>39</v>
      </c>
      <c r="B55" s="12">
        <v>11128</v>
      </c>
      <c r="C55" s="12">
        <v>9613</v>
      </c>
      <c r="D55" s="12">
        <v>8773</v>
      </c>
      <c r="E55" s="24"/>
      <c r="F55" s="24"/>
    </row>
    <row r="56" spans="1:7" x14ac:dyDescent="0.2">
      <c r="A56" s="8" t="s">
        <v>40</v>
      </c>
      <c r="B56" s="13">
        <f>+SUM(B51:B55)</f>
        <v>153982</v>
      </c>
      <c r="C56" s="13">
        <f t="shared" ref="C56:D56" si="15">+SUM(C51:C55)</f>
        <v>125481</v>
      </c>
      <c r="D56" s="13">
        <f t="shared" si="15"/>
        <v>105392</v>
      </c>
      <c r="E56" s="25"/>
    </row>
    <row r="57" spans="1:7" x14ac:dyDescent="0.2">
      <c r="A57" t="s">
        <v>51</v>
      </c>
      <c r="B57" s="12"/>
      <c r="C57" s="12"/>
      <c r="D57" s="12"/>
    </row>
    <row r="58" spans="1:7" x14ac:dyDescent="0.2">
      <c r="A58" s="1" t="s">
        <v>37</v>
      </c>
      <c r="B58" s="12"/>
      <c r="C58" s="12"/>
      <c r="D58" s="12"/>
    </row>
    <row r="59" spans="1:7" x14ac:dyDescent="0.2">
      <c r="A59" s="1" t="s">
        <v>39</v>
      </c>
      <c r="B59" s="12">
        <v>98959</v>
      </c>
      <c r="C59" s="12">
        <v>109106</v>
      </c>
      <c r="D59" s="12">
        <v>98667</v>
      </c>
      <c r="E59" s="25"/>
    </row>
    <row r="60" spans="1:7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2">
      <c r="A61" s="23" t="s">
        <v>53</v>
      </c>
      <c r="B61" s="22">
        <f>+B59+B60</f>
        <v>148101</v>
      </c>
      <c r="C61" s="22">
        <f t="shared" ref="C61:D61" si="16">+C59+C60</f>
        <v>162431</v>
      </c>
      <c r="D61" s="22">
        <f t="shared" si="16"/>
        <v>153157</v>
      </c>
    </row>
    <row r="62" spans="1:7" x14ac:dyDescent="0.2">
      <c r="A62" s="8" t="s">
        <v>41</v>
      </c>
      <c r="B62" s="13">
        <f>+B56+B61</f>
        <v>302083</v>
      </c>
      <c r="C62" s="13">
        <f t="shared" ref="C62:D62" si="17">+C56+C61</f>
        <v>287912</v>
      </c>
      <c r="D62" s="13">
        <f t="shared" si="17"/>
        <v>258549</v>
      </c>
    </row>
    <row r="63" spans="1:7" x14ac:dyDescent="0.2">
      <c r="B63" s="12"/>
      <c r="C63" s="12"/>
      <c r="D63" s="12"/>
      <c r="E63" s="25"/>
      <c r="F63" s="25"/>
      <c r="G63" s="25"/>
    </row>
    <row r="64" spans="1:7" x14ac:dyDescent="0.2">
      <c r="A64" t="s">
        <v>42</v>
      </c>
      <c r="B64" s="12"/>
      <c r="C64" s="12"/>
      <c r="D64" s="12"/>
    </row>
    <row r="65" spans="1:8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8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8" x14ac:dyDescent="0.2">
      <c r="A68" s="8" t="s">
        <v>45</v>
      </c>
      <c r="B68" s="13">
        <f>+SUM(B65:B67)</f>
        <v>50672</v>
      </c>
      <c r="C68" s="13">
        <f t="shared" ref="C68:D68" si="18">+SUM(C65:C67)</f>
        <v>63090</v>
      </c>
      <c r="D68" s="13">
        <f t="shared" si="18"/>
        <v>65339</v>
      </c>
    </row>
    <row r="69" spans="1:8" ht="16" thickBot="1" x14ac:dyDescent="0.25">
      <c r="A69" s="9" t="s">
        <v>46</v>
      </c>
      <c r="B69" s="14">
        <f>+B68+B62</f>
        <v>352755</v>
      </c>
      <c r="C69" s="14">
        <f t="shared" ref="C69:D69" si="19">+C68+C62</f>
        <v>351002</v>
      </c>
      <c r="D69" s="14">
        <f t="shared" si="19"/>
        <v>323888</v>
      </c>
      <c r="F69" s="25"/>
      <c r="G69" s="25"/>
      <c r="H69" s="25"/>
    </row>
    <row r="70" spans="1:8" ht="16" thickTop="1" x14ac:dyDescent="0.2"/>
    <row r="71" spans="1:8" x14ac:dyDescent="0.2">
      <c r="A71" s="35" t="s">
        <v>55</v>
      </c>
      <c r="B71" s="35"/>
      <c r="C71" s="35"/>
      <c r="D71" s="35"/>
    </row>
    <row r="72" spans="1:8" x14ac:dyDescent="0.2">
      <c r="B72" s="34" t="s">
        <v>23</v>
      </c>
      <c r="C72" s="34"/>
      <c r="D72" s="34"/>
    </row>
    <row r="73" spans="1:8" x14ac:dyDescent="0.2">
      <c r="B73" s="7">
        <f>+B33</f>
        <v>2022</v>
      </c>
      <c r="C73" s="7">
        <f t="shared" ref="C73:D73" si="20">+C33</f>
        <v>2021</v>
      </c>
      <c r="D73" s="7">
        <f t="shared" si="20"/>
        <v>2020</v>
      </c>
    </row>
    <row r="75" spans="1:8" x14ac:dyDescent="0.2">
      <c r="A75" s="7" t="s">
        <v>56</v>
      </c>
      <c r="B75" s="15"/>
      <c r="C75" s="15"/>
      <c r="D75" s="15"/>
    </row>
    <row r="76" spans="1:8" x14ac:dyDescent="0.2">
      <c r="A76" t="s">
        <v>57</v>
      </c>
      <c r="B76" s="12">
        <f>+B22</f>
        <v>99803</v>
      </c>
      <c r="C76" s="12">
        <f t="shared" ref="C76:D76" si="21">+C22</f>
        <v>94680</v>
      </c>
      <c r="D76" s="12">
        <f t="shared" si="21"/>
        <v>57411</v>
      </c>
      <c r="F76" s="28"/>
      <c r="G76" s="28"/>
      <c r="H76" s="28"/>
    </row>
    <row r="77" spans="1:8" x14ac:dyDescent="0.2">
      <c r="A77" s="11" t="s">
        <v>18</v>
      </c>
      <c r="B77" s="15"/>
      <c r="C77" s="15"/>
      <c r="D77" s="15"/>
    </row>
    <row r="78" spans="1:8" x14ac:dyDescent="0.2">
      <c r="A78" s="1" t="s">
        <v>58</v>
      </c>
      <c r="B78" s="12"/>
      <c r="C78" s="12"/>
      <c r="D78" s="12"/>
    </row>
    <row r="79" spans="1:8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8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9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9" x14ac:dyDescent="0.2">
      <c r="A82" s="3" t="s">
        <v>61</v>
      </c>
      <c r="B82" s="12">
        <v>111</v>
      </c>
      <c r="C82" s="12">
        <v>-147</v>
      </c>
      <c r="D82" s="12">
        <v>-97</v>
      </c>
      <c r="G82" s="24"/>
      <c r="H82" s="24"/>
      <c r="I82" s="24"/>
    </row>
    <row r="83" spans="1:9" x14ac:dyDescent="0.2">
      <c r="A83" t="s">
        <v>62</v>
      </c>
      <c r="B83" s="12"/>
      <c r="C83" s="12"/>
      <c r="D83" s="12"/>
    </row>
    <row r="84" spans="1:9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9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9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9" x14ac:dyDescent="0.2">
      <c r="A87" s="32" t="s">
        <v>84</v>
      </c>
      <c r="B87" s="12">
        <v>-6499</v>
      </c>
      <c r="C87" s="12">
        <v>-8042</v>
      </c>
      <c r="D87" s="12">
        <v>-9588</v>
      </c>
    </row>
    <row r="88" spans="1:9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9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9" x14ac:dyDescent="0.2">
      <c r="A90" s="32" t="s">
        <v>85</v>
      </c>
      <c r="B90" s="12">
        <v>5632</v>
      </c>
      <c r="C90" s="12">
        <v>5799</v>
      </c>
      <c r="D90" s="12">
        <v>8916</v>
      </c>
    </row>
    <row r="91" spans="1:9" x14ac:dyDescent="0.2">
      <c r="A91" s="8" t="s">
        <v>63</v>
      </c>
      <c r="B91" s="13">
        <f>+SUM(B76:B90)</f>
        <v>122151</v>
      </c>
      <c r="C91" s="13">
        <f t="shared" ref="C91:D91" si="22">+SUM(C76:C90)</f>
        <v>104038</v>
      </c>
      <c r="D91" s="13">
        <f t="shared" si="22"/>
        <v>80674</v>
      </c>
    </row>
    <row r="92" spans="1:9" x14ac:dyDescent="0.2">
      <c r="A92" s="7" t="s">
        <v>64</v>
      </c>
      <c r="B92" s="12"/>
      <c r="C92" s="12"/>
      <c r="D92" s="12"/>
    </row>
    <row r="93" spans="1:9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9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9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9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5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5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5" x14ac:dyDescent="0.2">
      <c r="A99" s="8" t="s">
        <v>70</v>
      </c>
      <c r="B99" s="13">
        <f>+SUM(B93:B98)</f>
        <v>-22354</v>
      </c>
      <c r="C99" s="13">
        <f t="shared" ref="C99:D99" si="23">+SUM(C93:C98)</f>
        <v>-14545</v>
      </c>
      <c r="D99" s="13">
        <f t="shared" si="23"/>
        <v>-4289</v>
      </c>
    </row>
    <row r="100" spans="1:5" x14ac:dyDescent="0.2">
      <c r="A100" s="7" t="s">
        <v>71</v>
      </c>
      <c r="B100" s="12"/>
      <c r="C100" s="12"/>
      <c r="D100" s="12"/>
    </row>
    <row r="101" spans="1:5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5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5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5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5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5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5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5" x14ac:dyDescent="0.2">
      <c r="A108" s="8" t="s">
        <v>77</v>
      </c>
      <c r="B108" s="13">
        <f>+SUM(B101:B107)</f>
        <v>-110749</v>
      </c>
      <c r="C108" s="13">
        <f t="shared" ref="C108:D108" si="24">+SUM(C101:C107)</f>
        <v>-93353</v>
      </c>
      <c r="D108" s="13">
        <f t="shared" si="24"/>
        <v>-86820</v>
      </c>
      <c r="E108" s="25"/>
    </row>
    <row r="109" spans="1:5" x14ac:dyDescent="0.2">
      <c r="A109" s="8" t="s">
        <v>78</v>
      </c>
      <c r="B109" s="13">
        <f>+B91+B99+B108</f>
        <v>-10952</v>
      </c>
      <c r="C109" s="13">
        <f t="shared" ref="C109:D109" si="25">+C91+C99+C108</f>
        <v>-3860</v>
      </c>
      <c r="D109" s="13">
        <f t="shared" si="25"/>
        <v>-10435</v>
      </c>
    </row>
    <row r="110" spans="1:5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5" ht="16" thickTop="1" x14ac:dyDescent="0.2">
      <c r="B111" s="12"/>
      <c r="C111" s="12"/>
      <c r="D111" s="12"/>
    </row>
    <row r="112" spans="1:5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abSelected="1" topLeftCell="A49" zoomScale="102" workbookViewId="0">
      <selection activeCell="E72" sqref="E72"/>
    </sheetView>
  </sheetViews>
  <sheetFormatPr baseColWidth="10" defaultColWidth="8.83203125" defaultRowHeight="15" x14ac:dyDescent="0.2"/>
  <cols>
    <col min="1" max="1" width="4.6640625" customWidth="1"/>
    <col min="2" max="2" width="57.33203125" customWidth="1"/>
    <col min="3" max="5" width="16.33203125" bestFit="1" customWidth="1"/>
    <col min="6" max="7" width="11.1640625" bestFit="1" customWidth="1"/>
    <col min="8" max="8" width="10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34" t="s">
        <v>23</v>
      </c>
      <c r="D2" s="34"/>
      <c r="E2" s="3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v>0.879</v>
      </c>
      <c r="D5">
        <v>1.0740000000000001</v>
      </c>
      <c r="E5">
        <v>1.3640000000000001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5">
        <f>('Financial Statements'!B36+'Financial Statements'!B38)/'Financial Statements'!B56</f>
        <v>0.33659778415658975</v>
      </c>
      <c r="D6" s="25">
        <f>('Financial Statements'!C36+'Financial Statements'!C38)/'Financial Statements'!C56</f>
        <v>0.48786668898080188</v>
      </c>
      <c r="E6" s="25">
        <f>('Financial Statements'!D36+'Financial Statements'!D38)/'Financial Statements'!D56</f>
        <v>0.51366327614999241</v>
      </c>
    </row>
    <row r="7" spans="1:10" x14ac:dyDescent="0.2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32" t="s">
        <v>103</v>
      </c>
      <c r="C8" s="27">
        <f>'Financial Statements'!B42/('Financial Statements'!B17-'Financial Statements'!B79)</f>
        <v>3.3648517680972141</v>
      </c>
      <c r="D8" s="27">
        <f>'Financial Statements'!C42/('Financial Statements'!C17-'Financial Statements'!C79)</f>
        <v>4.1356930343833387</v>
      </c>
      <c r="E8" s="27">
        <f>'Financial Statements'!D42/('Financial Statements'!D17-'Financial Statements'!D79)</f>
        <v>5.2047298276111835</v>
      </c>
    </row>
    <row r="9" spans="1:10" x14ac:dyDescent="0.2">
      <c r="A9" s="18">
        <f t="shared" si="0"/>
        <v>1.5000000000000004</v>
      </c>
      <c r="B9" s="32" t="s">
        <v>104</v>
      </c>
      <c r="C9" s="27">
        <f>'Financial Statements'!B39/'Financial Statements'!E12</f>
        <v>8.0756980666171625</v>
      </c>
      <c r="D9" s="27">
        <f>'Financial Statements'!C39/'Financial Statements'!F12</f>
        <v>11.27659274770989</v>
      </c>
      <c r="E9" s="27">
        <f>'Financial Statements'!D39/'Financial Statements'!G12</f>
        <v>8.7418833562358813</v>
      </c>
    </row>
    <row r="10" spans="1:10" x14ac:dyDescent="0.2">
      <c r="A10" s="18">
        <f t="shared" si="0"/>
        <v>1.6000000000000005</v>
      </c>
      <c r="B10" s="1" t="s">
        <v>105</v>
      </c>
      <c r="C10" s="27">
        <f>'Financial Statements'!B51/'Financial Statements'!B12*365</f>
        <v>104.68527730310539</v>
      </c>
      <c r="D10" s="27">
        <f>'Financial Statements'!C51/'Financial Statements'!C12*365</f>
        <v>93.851071222315596</v>
      </c>
      <c r="E10" s="27">
        <f>'Financial Statements'!D51/'Financial Statements'!D12*365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7">
        <f>'Financial Statements'!B38/'Financial Statements'!B8*365</f>
        <v>26.087825363656648</v>
      </c>
      <c r="D11" s="27">
        <f>'Financial Statements'!C38/'Financial Statements'!C8*365</f>
        <v>26.219311841713207</v>
      </c>
      <c r="E11" s="27">
        <f>'Financial Statements'!D38/'Financial Statements'!D8*365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7">
        <f>C9+C11-C10</f>
        <v>-70.521753872831582</v>
      </c>
      <c r="D12" s="27">
        <f>D9+D11-D10</f>
        <v>-56.355166632892498</v>
      </c>
      <c r="E12" s="27">
        <f>E9+E11-E10</f>
        <v>-60.872869206641568</v>
      </c>
    </row>
    <row r="13" spans="1:10" x14ac:dyDescent="0.2">
      <c r="A13" s="18">
        <f t="shared" si="0"/>
        <v>1.9000000000000008</v>
      </c>
      <c r="B13" s="1" t="s">
        <v>108</v>
      </c>
      <c r="C13" s="26">
        <f>C14/'Financial Statements'!B8</f>
        <v>0.12850216063784464</v>
      </c>
      <c r="D13" s="26">
        <f>D14/'Financial Statements'!C8</f>
        <v>0.17246328082073825</v>
      </c>
      <c r="E13" s="26">
        <f>E14/'Financial Statements'!D8</f>
        <v>0.23801613755168205</v>
      </c>
    </row>
    <row r="14" spans="1:10" x14ac:dyDescent="0.2">
      <c r="A14" s="18"/>
      <c r="B14" s="3" t="s">
        <v>109</v>
      </c>
      <c r="C14" s="25">
        <f>'Financial Statements'!B48-'Financial Statements'!B62</f>
        <v>50672</v>
      </c>
      <c r="D14" s="25">
        <f>'Financial Statements'!C48-'Financial Statements'!C62</f>
        <v>63090</v>
      </c>
      <c r="E14" s="25">
        <f>'Financial Statements'!D48-'Financial Statements'!D62</f>
        <v>65339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7">
        <v>170782</v>
      </c>
      <c r="D17" s="27">
        <v>152836</v>
      </c>
      <c r="E17" s="27">
        <v>104956</v>
      </c>
    </row>
    <row r="18" spans="1:5" x14ac:dyDescent="0.2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5" x14ac:dyDescent="0.2">
      <c r="A19" s="18"/>
      <c r="B19" s="3" t="s">
        <v>112</v>
      </c>
      <c r="C19" s="25">
        <f>'Financial Statements'!B18+'Financial Statements'!B79</f>
        <v>130541</v>
      </c>
      <c r="D19" s="25">
        <f>'Financial Statements'!C18+'Financial Statements'!C79</f>
        <v>120233</v>
      </c>
      <c r="E19" s="25">
        <f>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 s="27">
        <f>C21/'Financial Statements'!B8</f>
        <v>0.35978931245054879</v>
      </c>
      <c r="D20" s="27">
        <f>D21/'Financial Statements'!C8</f>
        <v>0.37456159773876008</v>
      </c>
      <c r="E20" s="27">
        <f>E21/'Financial Statements'!D8</f>
        <v>0.28701892428464748</v>
      </c>
    </row>
    <row r="21" spans="1:5" x14ac:dyDescent="0.2">
      <c r="A21" s="18"/>
      <c r="B21" s="3" t="s">
        <v>114</v>
      </c>
      <c r="C21" s="27">
        <f>'Financial Statements'!B18+'Financial Statements'!B113+'Financial Statements'!B114</f>
        <v>141875</v>
      </c>
      <c r="D21" s="27">
        <f>'Financial Statements'!C18+'Financial Statements'!C113+'Financial Statements'!C114</f>
        <v>137021</v>
      </c>
      <c r="E21" s="27">
        <f>'Financial Statements'!D18+'Financial Statements'!D113+'Financial Statements'!D114</f>
        <v>78791</v>
      </c>
    </row>
    <row r="22" spans="1:5" x14ac:dyDescent="0.2">
      <c r="A22" s="18">
        <f>+A20+0.1</f>
        <v>2.4000000000000004</v>
      </c>
      <c r="B22" s="1" t="s">
        <v>115</v>
      </c>
      <c r="C22" s="27">
        <f>'Financial Statements'!B22/'Financial Statements'!B8*100</f>
        <v>25.309640705199733</v>
      </c>
      <c r="D22" s="27">
        <f>'Financial Statements'!C22/'Financial Statements'!C8*100</f>
        <v>25.881793355694239</v>
      </c>
      <c r="E22" s="27">
        <f>'Financial Statements'!D22/'Financial Statements'!D8*100</f>
        <v>20.913611278072235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 s="25">
        <f>'Financial Statements'!B55/'Financial Statements'!B68</f>
        <v>0.21960846226712977</v>
      </c>
      <c r="D25" s="25">
        <f>'Financial Statements'!C55/'Financial Statements'!C68</f>
        <v>0.15236963068632112</v>
      </c>
      <c r="E25" s="25">
        <f>'Financial Statements'!D55/'Financial Statements'!D68</f>
        <v>0.13426896646719416</v>
      </c>
    </row>
    <row r="26" spans="1:5" x14ac:dyDescent="0.2">
      <c r="A26" s="18">
        <f t="shared" ref="A26:A30" si="1">+A25+0.1</f>
        <v>3.2</v>
      </c>
      <c r="B26" s="1" t="s">
        <v>118</v>
      </c>
      <c r="C26" s="27">
        <f>'Financial Statements'!B59/'Financial Statements'!B48</f>
        <v>0.28053181386514719</v>
      </c>
      <c r="D26" s="27">
        <f>'Financial Statements'!C62/'Financial Statements'!C48</f>
        <v>0.82025743443057308</v>
      </c>
      <c r="E26" s="27">
        <f>'Financial Statements'!D62/'Financial Statements'!D48</f>
        <v>0.79826668477992391</v>
      </c>
    </row>
    <row r="27" spans="1:5" x14ac:dyDescent="0.2">
      <c r="A27" s="18">
        <f t="shared" si="1"/>
        <v>3.3000000000000003</v>
      </c>
      <c r="B27" s="1" t="s">
        <v>119</v>
      </c>
      <c r="C27" s="36">
        <f>'Financial Statements'!B55/'Financial Statements'!B69</f>
        <v>3.1545973834531046E-2</v>
      </c>
      <c r="D27" s="36">
        <f>'Financial Statements'!C55/'Financial Statements'!C69</f>
        <v>2.7387308334425445E-2</v>
      </c>
      <c r="E27" s="36">
        <f>'Financial Statements'!D55/'Financial Statements'!D69</f>
        <v>2.7086523736600306E-2</v>
      </c>
    </row>
    <row r="28" spans="1:5" x14ac:dyDescent="0.2">
      <c r="A28" s="18">
        <f t="shared" si="1"/>
        <v>3.4000000000000004</v>
      </c>
      <c r="B28" s="1" t="s">
        <v>120</v>
      </c>
      <c r="C28" s="29">
        <f>C21/'Financial Statements'!B114</f>
        <v>49.520069808027927</v>
      </c>
      <c r="D28" s="29">
        <f>D21/'Financial Statements'!C114</f>
        <v>50.994045403796058</v>
      </c>
      <c r="E28" s="29">
        <f>E21/'Financial Statements'!D114</f>
        <v>26.246169220519654</v>
      </c>
    </row>
    <row r="29" spans="1:5" x14ac:dyDescent="0.2">
      <c r="A29" s="18">
        <f t="shared" si="1"/>
        <v>3.5000000000000004</v>
      </c>
      <c r="B29" s="1" t="s">
        <v>121</v>
      </c>
      <c r="C29" s="29">
        <f>'Financial Statements'!B22/('Financial Statements'!B21+'Financial Statements'!B19)</f>
        <v>5.2622060529368344</v>
      </c>
      <c r="D29" s="29">
        <f>'Financial Statements'!C22/('Financial Statements'!C21+'Financial Statements'!C19)</f>
        <v>6.4037876225904631</v>
      </c>
      <c r="E29" s="29">
        <f>'Financial Statements'!D22/('Financial Statements'!D21+'Financial Statements'!D19)</f>
        <v>5.4765811313555277</v>
      </c>
    </row>
    <row r="30" spans="1:5" x14ac:dyDescent="0.2">
      <c r="A30" s="18">
        <f t="shared" si="1"/>
        <v>3.6000000000000005</v>
      </c>
      <c r="B30" s="1" t="s">
        <v>122</v>
      </c>
      <c r="C30" s="33">
        <f>C31/'Financial Statements'!B28</f>
        <v>3.0756803073707971E-3</v>
      </c>
      <c r="D30" s="33">
        <f>D31/'Financial Statements'!C28</f>
        <v>4.4992211347116458E-3</v>
      </c>
      <c r="E30" s="33">
        <f>E31/'Financial Statements'!D28</f>
        <v>3.9948165854205115E-3</v>
      </c>
    </row>
    <row r="31" spans="1:5" x14ac:dyDescent="0.2">
      <c r="A31" s="18"/>
      <c r="B31" s="3" t="s">
        <v>123</v>
      </c>
      <c r="C31" s="30">
        <f>'Financial Statements'!B22+'Financial Statements'!B79+'Financial Statements'!B42-'Financial Statements'!B56-'Financial Statements'!B45</f>
        <v>50213</v>
      </c>
      <c r="D31" s="30">
        <f>'Financial Statements'!C22+'Financial Statements'!C79+'Financial Statements'!C42-'Financial Statements'!C56-'Financial Statements'!C45</f>
        <v>75879</v>
      </c>
      <c r="E31" s="30">
        <f>'Financial Statements'!D22+'Financial Statements'!D79+'Financial Statements'!D42-'Financial Statements'!D56-'Financial Statements'!D45</f>
        <v>70022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7">
        <f>'Financial Statements'!B8/'Financial Statements'!B48</f>
        <v>1.1178523337727317</v>
      </c>
      <c r="D34" s="27">
        <f>'Financial Statements'!C8/'Financial Statements'!C48</f>
        <v>1.0422077367080529</v>
      </c>
      <c r="E34" s="27">
        <f>'Financial Statements'!D8/'Financial Statements'!D48</f>
        <v>0.84756150274168851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 s="27">
        <f>'Financial Statements'!B8/'Financial Statements'!B47</f>
        <v>1.8142535081665516</v>
      </c>
      <c r="D35" s="27">
        <f>'Financial Statements'!C8/'Financial Statements'!C47</f>
        <v>1.6922966608994938</v>
      </c>
      <c r="E35" s="27">
        <f>'Financial Statements'!D8/'Financial Statements'!D47</f>
        <v>1.5236020535590398</v>
      </c>
    </row>
    <row r="36" spans="1:5" x14ac:dyDescent="0.2">
      <c r="A36" s="18">
        <f t="shared" si="2"/>
        <v>4.2999999999999989</v>
      </c>
      <c r="B36" s="1" t="s">
        <v>127</v>
      </c>
      <c r="C36" s="27">
        <f>'Financial Statements'!B12/'Financial Statements'!B39</f>
        <v>45.197331176708452</v>
      </c>
      <c r="D36" s="27">
        <f>'Financial Statements'!C12/'Financial Statements'!C39</f>
        <v>32.367933130699086</v>
      </c>
      <c r="E36" s="27">
        <f>'Financial Statements'!D12/'Financial Statements'!D39</f>
        <v>41.753016498399411</v>
      </c>
    </row>
    <row r="37" spans="1:5" x14ac:dyDescent="0.2">
      <c r="A37" s="18">
        <f t="shared" si="2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25">
        <f>'Financial Statements'!B65/'Financial Statements'!B66</f>
        <v>-21.137222946544981</v>
      </c>
      <c r="D40" s="25">
        <f>'Financial Statements'!C65/'Financial Statements'!C66</f>
        <v>10.313736066163251</v>
      </c>
      <c r="E40" s="25">
        <f>'Financial Statements'!D65/'Financial Statements'!D66</f>
        <v>3.3929573700387543</v>
      </c>
    </row>
    <row r="41" spans="1:5" x14ac:dyDescent="0.2">
      <c r="A41" s="18">
        <f t="shared" ref="A41:A44" si="3">+A40+0.1</f>
        <v>5.1999999999999993</v>
      </c>
      <c r="B41" s="3" t="s">
        <v>131</v>
      </c>
      <c r="C41" s="31">
        <f>'Financial Statements'!B22/'Financial Statements'!B25*1000</f>
        <v>16334369.885433715</v>
      </c>
      <c r="D41" s="31">
        <f>'Financial Statements'!C22/'Financial Statements'!C25*1000</f>
        <v>16877005.347593583</v>
      </c>
      <c r="E41" s="31">
        <f>'Financial Statements'!D22/'Financial Statements'!D25*1000</f>
        <v>17503353.658536587</v>
      </c>
    </row>
    <row r="42" spans="1:5" x14ac:dyDescent="0.2">
      <c r="A42" s="18">
        <f t="shared" si="3"/>
        <v>5.2999999999999989</v>
      </c>
      <c r="B42" s="1" t="s">
        <v>132</v>
      </c>
      <c r="C42">
        <f>138.2/C43</f>
        <v>44526.13249526365</v>
      </c>
      <c r="D42" s="24">
        <f>146.92/D43</f>
        <v>39273.95624472975</v>
      </c>
      <c r="E42" s="24">
        <f>112.28/E43</f>
        <v>30120.875249391633</v>
      </c>
    </row>
    <row r="43" spans="1:5" x14ac:dyDescent="0.2">
      <c r="A43" s="18">
        <f t="shared" si="3"/>
        <v>5.3999999999999986</v>
      </c>
      <c r="B43" s="3" t="s">
        <v>133</v>
      </c>
      <c r="C43">
        <f>('Financial Statements'!B48-'Financial Statements'!B62)/'Financial Statements'!B28</f>
        <v>3.103795282797145E-3</v>
      </c>
      <c r="D43" s="24">
        <f>('Financial Statements'!C48-'Financial Statements'!C62)/'Financial Statements'!C28</f>
        <v>3.7409014534845971E-3</v>
      </c>
      <c r="E43" s="24">
        <f>('Financial Statements'!D48-'Financial Statements'!D62)/'Financial Statements'!D28</f>
        <v>3.7276473233382478E-3</v>
      </c>
    </row>
    <row r="44" spans="1:5" x14ac:dyDescent="0.2">
      <c r="A44" s="18">
        <f t="shared" si="3"/>
        <v>5.4999999999999982</v>
      </c>
      <c r="B44" s="1" t="s">
        <v>134</v>
      </c>
      <c r="C44">
        <f>C45/C41</f>
        <v>5.5652643995115302E-11</v>
      </c>
      <c r="D44" s="24">
        <f t="shared" ref="D44:E44" si="4">D45/D41</f>
        <v>5.0827509919812146E-11</v>
      </c>
      <c r="E44" s="24">
        <f t="shared" si="4"/>
        <v>4.589597113886717E-11</v>
      </c>
    </row>
    <row r="45" spans="1:5" x14ac:dyDescent="0.2">
      <c r="A45" s="18"/>
      <c r="B45" s="3" t="s">
        <v>135</v>
      </c>
      <c r="C45" s="33">
        <f>-'Financial Statements'!B102/'Financial Statements'!B28</f>
        <v>9.0905087211857485E-4</v>
      </c>
      <c r="D45" s="33">
        <f>-'Financial Statements'!C102/'Financial Statements'!C28</f>
        <v>8.5781615672153545E-4</v>
      </c>
      <c r="E45" s="33">
        <f>-'Financial Statements'!D102/'Financial Statements'!D28</f>
        <v>8.0333341434558024E-4</v>
      </c>
    </row>
    <row r="46" spans="1:5" x14ac:dyDescent="0.2">
      <c r="A46" s="18">
        <f>+A44+0.1</f>
        <v>5.5999999999999979</v>
      </c>
      <c r="B46" s="1" t="s">
        <v>136</v>
      </c>
      <c r="C46">
        <f>C45/138.2</f>
        <v>6.5777921282096595E-6</v>
      </c>
      <c r="D46">
        <f>D45/146.92</f>
        <v>5.8386615622211787E-6</v>
      </c>
      <c r="E46">
        <f>E45/112.28</f>
        <v>7.1547329385961902E-6</v>
      </c>
    </row>
    <row r="47" spans="1:5" x14ac:dyDescent="0.2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5" x14ac:dyDescent="0.2">
      <c r="A48" s="18">
        <f t="shared" si="5"/>
        <v>5.6999999999999975</v>
      </c>
      <c r="B48" s="1" t="s">
        <v>138</v>
      </c>
      <c r="C48" s="25">
        <f>C21/('Financial Statements'!B68+'Financial Statements'!B55)</f>
        <v>2.2957119741100325</v>
      </c>
      <c r="D48" s="25">
        <f>D21/('Financial Statements'!C68+'Financial Statements'!C55)</f>
        <v>1.8846677578641873</v>
      </c>
      <c r="E48" s="25">
        <f>E21/('Financial Statements'!D68+'Financial Statements'!D55)</f>
        <v>1.0631341753022452</v>
      </c>
    </row>
    <row r="49" spans="1:5" x14ac:dyDescent="0.2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 s="24">
        <f>'Financial Statements'!C22/'Financial Statements'!C48</f>
        <v>0.26974205275183616</v>
      </c>
      <c r="E49" s="24">
        <f>'Financial Statements'!D22/'Financial Statements'!D48</f>
        <v>0.1772557180259843</v>
      </c>
    </row>
    <row r="50" spans="1:5" x14ac:dyDescent="0.2">
      <c r="A50" s="18">
        <f t="shared" si="5"/>
        <v>5.7999999999999972</v>
      </c>
      <c r="B50" s="1" t="s">
        <v>139</v>
      </c>
      <c r="C50" s="25">
        <f>C51/C19</f>
        <v>17282.824268237564</v>
      </c>
      <c r="D50" s="25">
        <f t="shared" ref="D50:E50" si="6">D51/D19</f>
        <v>19384.340246022304</v>
      </c>
      <c r="E50" s="25">
        <f t="shared" si="6"/>
        <v>31318.87766083988</v>
      </c>
    </row>
    <row r="51" spans="1:5" x14ac:dyDescent="0.2">
      <c r="A51" s="18"/>
      <c r="B51" s="3" t="s">
        <v>140</v>
      </c>
      <c r="C51" s="25">
        <f>138.2*'Financial Statements'!B28+'Financial Statements'!B55-'Financial Statements'!B91</f>
        <v>2256117162.7999997</v>
      </c>
      <c r="D51" s="25">
        <f>138.2*'Financial Statements'!C28+'Financial Statements'!C55-'Financial Statements'!C91</f>
        <v>2330637380.7999997</v>
      </c>
      <c r="E51" s="25">
        <f>138.2*'Financial Statements'!D28+'Financial Statements'!D55-'Financial Statements'!D91</f>
        <v>2422327273.7999997</v>
      </c>
    </row>
    <row r="53" spans="1:5" x14ac:dyDescent="0.2">
      <c r="B53" s="1" t="s">
        <v>151</v>
      </c>
      <c r="C53" s="26">
        <f>('Financial Statements'!B8-'Financial Statements'!C8)/'Financial Statements'!C8</f>
        <v>7.7937876041846058E-2</v>
      </c>
      <c r="D53" s="26">
        <f>('Financial Statements'!C8-'Financial Statements'!D8)/'Financial Statements'!D8</f>
        <v>0.33259384733074693</v>
      </c>
      <c r="E53" s="25"/>
    </row>
    <row r="54" spans="1:5" x14ac:dyDescent="0.2">
      <c r="B54" s="1" t="s">
        <v>152</v>
      </c>
      <c r="C54" s="26">
        <f>('Financial Statements'!B13-'Financial Statements'!C13)/'Financial Statements'!C13</f>
        <v>0.11741997958596143</v>
      </c>
      <c r="D54" s="26">
        <f>('Financial Statements'!C13-'Financial Statements'!D13)/'Financial Statements'!D13</f>
        <v>0.45619116582186819</v>
      </c>
    </row>
    <row r="55" spans="1:5" x14ac:dyDescent="0.2">
      <c r="B55" s="1" t="s">
        <v>153</v>
      </c>
      <c r="C55" s="26">
        <f>('Financial Statements'!B17-'Financial Statements'!C17)/'Financial Statements'!C17</f>
        <v>0.16993642764372138</v>
      </c>
      <c r="D55" s="26">
        <f>('Financial Statements'!C17-'Financial Statements'!D17)/'Financial Statements'!D17</f>
        <v>0.13496948381090307</v>
      </c>
    </row>
    <row r="56" spans="1:5" x14ac:dyDescent="0.2">
      <c r="B56" s="1" t="s">
        <v>154</v>
      </c>
      <c r="C56" s="26">
        <f>('Financial Statements'!B18-'Financial Statements'!C18)/'Financial Statements'!C18</f>
        <v>9.6265225013538444E-2</v>
      </c>
      <c r="D56" s="26">
        <f>('Financial Statements'!C18-'Financial Statements'!D18)/'Financial Statements'!D18</f>
        <v>0.64357048032826458</v>
      </c>
    </row>
    <row r="57" spans="1:5" x14ac:dyDescent="0.2">
      <c r="B57" s="1" t="s">
        <v>155</v>
      </c>
      <c r="C57" s="26">
        <f>('Financial Statements'!B22-'Financial Statements'!C22)/'Financial Statements'!C22</f>
        <v>5.4108576256865229E-2</v>
      </c>
      <c r="D57" s="26">
        <f>('Financial Statements'!C22-'Financial Statements'!D22)/'Financial Statements'!D22</f>
        <v>0.64916131055024295</v>
      </c>
    </row>
    <row r="59" spans="1:5" x14ac:dyDescent="0.2">
      <c r="B59" s="1" t="s">
        <v>156</v>
      </c>
      <c r="C59" s="26">
        <f>'Financial Statements'!B10/'Financial Statements'!B8</f>
        <v>0.5109223793390274</v>
      </c>
      <c r="D59" s="26">
        <f>'Financial Statements'!C10/'Financial Statements'!C8</f>
        <v>0.5255797297555882</v>
      </c>
      <c r="E59" s="26">
        <f>'Financial Statements'!D10/'Financial Statements'!D8</f>
        <v>0.55110285412454696</v>
      </c>
    </row>
    <row r="60" spans="1:5" x14ac:dyDescent="0.2">
      <c r="B60" s="1" t="s">
        <v>157</v>
      </c>
      <c r="C60" s="26">
        <f>'Financial Statements'!B13/'Financial Statements'!B8</f>
        <v>0.43309630561360085</v>
      </c>
      <c r="D60" s="26">
        <f>'Financial Statements'!C13/'Financial Statements'!C8</f>
        <v>0.41779359625167778</v>
      </c>
      <c r="E60" s="26">
        <f>'Financial Statements'!D13/'Financial Statements'!D8</f>
        <v>0.38233247727810865</v>
      </c>
    </row>
    <row r="61" spans="1:5" x14ac:dyDescent="0.2">
      <c r="B61" s="1" t="s">
        <v>158</v>
      </c>
      <c r="C61" s="26">
        <f>'Financial Statements'!B15/'Financial Statements'!B8</f>
        <v>6.657148363798665E-2</v>
      </c>
      <c r="D61" s="26">
        <f>'Financial Statements'!C15/'Financial Statements'!C8</f>
        <v>5.9904269074427925E-2</v>
      </c>
      <c r="E61" s="26">
        <f>'Financial Statements'!D15/'Financial Statements'!D8</f>
        <v>6.8309564140393061E-2</v>
      </c>
    </row>
    <row r="62" spans="1:5" x14ac:dyDescent="0.2">
      <c r="B62" s="1" t="s">
        <v>159</v>
      </c>
      <c r="C62" s="26">
        <f>'Financial Statements'!B16/'Financial Statements'!B8</f>
        <v>6.3637378020328261E-2</v>
      </c>
      <c r="D62" s="26">
        <f>'Financial Statements'!C16/'Financial Statements'!C8</f>
        <v>6.006555190163388E-2</v>
      </c>
      <c r="E62" s="26">
        <f>'Financial Statements'!D16/'Financial Statements'!D8</f>
        <v>7.2549769593646979E-2</v>
      </c>
    </row>
    <row r="63" spans="1:5" x14ac:dyDescent="0.2">
      <c r="B63" s="1" t="s">
        <v>160</v>
      </c>
      <c r="C63" s="26">
        <f>'Financial Statements'!B18/'Financial Statements'!B8</f>
        <v>0.30288744395528594</v>
      </c>
      <c r="D63" s="26">
        <f>'Financial Statements'!C18/'Financial Statements'!C8</f>
        <v>0.29782377527561593</v>
      </c>
      <c r="E63" s="26">
        <f>'Financial Statements'!D18/'Financial Statements'!D8</f>
        <v>0.24147314354406862</v>
      </c>
    </row>
    <row r="64" spans="1:5" x14ac:dyDescent="0.2">
      <c r="B64" s="1" t="s">
        <v>161</v>
      </c>
      <c r="C64" s="26">
        <f>'Financial Statements'!B22/'Financial Statements'!B8</f>
        <v>0.25309640705199732</v>
      </c>
      <c r="D64" s="26">
        <f>'Financial Statements'!C22/'Financial Statements'!C8</f>
        <v>0.25881793355694238</v>
      </c>
      <c r="E64" s="26">
        <f>'Financial Statements'!D22/'Financial Statements'!D8</f>
        <v>0.20913611278072236</v>
      </c>
    </row>
    <row r="66" spans="2:5" x14ac:dyDescent="0.2">
      <c r="B66" s="1" t="s">
        <v>94</v>
      </c>
      <c r="C66" s="37">
        <f>'Financial Statements'!B113/'Financial Statements'!B20</f>
        <v>0.1643367505436471</v>
      </c>
      <c r="D66" s="37">
        <f>'Financial Statements'!C113/'Financial Statements'!C20</f>
        <v>0.23244846942045841</v>
      </c>
      <c r="E66" s="37">
        <f>'Financial Statements'!D113/'Financial Statements'!D20</f>
        <v>0.14161362924982487</v>
      </c>
    </row>
    <row r="67" spans="2:5" x14ac:dyDescent="0.2">
      <c r="B67" s="1" t="s">
        <v>95</v>
      </c>
      <c r="C67" s="26">
        <f>-'Financial Statements'!B96/'Financial Statements'!B8</f>
        <v>2.7155058732831552E-2</v>
      </c>
      <c r="D67" s="26">
        <f>-'Financial Statements'!C96/'Financial Statements'!C8</f>
        <v>3.0302036264033657E-2</v>
      </c>
      <c r="E67" s="26">
        <f>-'Financial Statements'!D96/'Financial Statements'!D8</f>
        <v>2.6625138881299748E-2</v>
      </c>
    </row>
    <row r="68" spans="2:5" x14ac:dyDescent="0.2">
      <c r="B68" s="1" t="s">
        <v>96</v>
      </c>
      <c r="C68" s="26">
        <f>-'Financial Statements'!B96/'Financial Statements'!B45</f>
        <v>0.25424412944891611</v>
      </c>
      <c r="D68" s="26">
        <f>-'Financial Statements'!C96/'Financial Statements'!C45</f>
        <v>0.28105983772819471</v>
      </c>
      <c r="E68" s="26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2020-05-18T16:32:37Z</dcterms:created>
  <dcterms:modified xsi:type="dcterms:W3CDTF">2023-08-25T10:43:33Z</dcterms:modified>
</cp:coreProperties>
</file>