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\Downloads\IA WORK\"/>
    </mc:Choice>
  </mc:AlternateContent>
  <bookViews>
    <workbookView xWindow="0" yWindow="0" windowWidth="23040" windowHeight="9264" activeTab="2"/>
  </bookViews>
  <sheets>
    <sheet name="Instructions" sheetId="2" r:id="rId1"/>
    <sheet name="Financial Statements" sheetId="1" r:id="rId2"/>
    <sheet name="List of Ratios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3" i="3" l="1"/>
  <c r="E10" i="3" l="1"/>
  <c r="D68" i="3" l="1"/>
  <c r="E68" i="3"/>
  <c r="C68" i="3"/>
  <c r="D67" i="3"/>
  <c r="E67" i="3"/>
  <c r="C67" i="3"/>
  <c r="D66" i="3"/>
  <c r="E66" i="3"/>
  <c r="C66" i="3"/>
  <c r="D64" i="3"/>
  <c r="E64" i="3"/>
  <c r="C64" i="3"/>
  <c r="E62" i="3"/>
  <c r="D63" i="3"/>
  <c r="E63" i="3"/>
  <c r="C63" i="3"/>
  <c r="D62" i="3"/>
  <c r="C62" i="3"/>
  <c r="D61" i="3"/>
  <c r="E61" i="3"/>
  <c r="C61" i="3"/>
  <c r="D60" i="3"/>
  <c r="E60" i="3"/>
  <c r="C60" i="3"/>
  <c r="E59" i="3"/>
  <c r="D59" i="3"/>
  <c r="C59" i="3"/>
  <c r="D57" i="3"/>
  <c r="C57" i="3"/>
  <c r="D56" i="3"/>
  <c r="C56" i="3"/>
  <c r="D55" i="3"/>
  <c r="C55" i="3"/>
  <c r="D54" i="3"/>
  <c r="C54" i="3"/>
  <c r="D53" i="3"/>
  <c r="C53" i="3"/>
  <c r="E51" i="3"/>
  <c r="D51" i="3"/>
  <c r="D50" i="3" s="1"/>
  <c r="C51" i="3"/>
  <c r="C50" i="3" s="1"/>
  <c r="D45" i="3"/>
  <c r="E45" i="3"/>
  <c r="C45" i="3"/>
  <c r="D43" i="3"/>
  <c r="C43" i="3"/>
  <c r="E41" i="3"/>
  <c r="D41" i="3"/>
  <c r="C41" i="3"/>
  <c r="D35" i="3"/>
  <c r="E35" i="3"/>
  <c r="C35" i="3"/>
  <c r="D31" i="3"/>
  <c r="D30" i="3" s="1"/>
  <c r="E31" i="3"/>
  <c r="E30" i="3" s="1"/>
  <c r="C31" i="3"/>
  <c r="C30" i="3" s="1"/>
  <c r="D29" i="3"/>
  <c r="E29" i="3"/>
  <c r="C29" i="3"/>
  <c r="D27" i="3"/>
  <c r="E27" i="3"/>
  <c r="C27" i="3"/>
  <c r="C26" i="3"/>
  <c r="D25" i="3"/>
  <c r="E25" i="3"/>
  <c r="C25" i="3"/>
  <c r="D21" i="3"/>
  <c r="D48" i="3" s="1"/>
  <c r="E21" i="3"/>
  <c r="E48" i="3" s="1"/>
  <c r="C21" i="3"/>
  <c r="C48" i="3" s="1"/>
  <c r="C19" i="3"/>
  <c r="C18" i="3" s="1"/>
  <c r="E19" i="3"/>
  <c r="E18" i="3" s="1"/>
  <c r="D19" i="3"/>
  <c r="D18" i="3" s="1"/>
  <c r="D8" i="3"/>
  <c r="E8" i="3"/>
  <c r="C8" i="3"/>
  <c r="D9" i="3"/>
  <c r="E9" i="3"/>
  <c r="C9" i="3"/>
  <c r="E50" i="3" l="1"/>
  <c r="D14" i="3" l="1"/>
  <c r="D13" i="3" s="1"/>
  <c r="E14" i="3"/>
  <c r="E13" i="3" s="1"/>
  <c r="C14" i="3"/>
  <c r="C13" i="3" s="1"/>
  <c r="E46" i="3"/>
  <c r="D46" i="3"/>
  <c r="C46" i="3"/>
  <c r="E42" i="3"/>
  <c r="D42" i="3"/>
  <c r="C42" i="3"/>
  <c r="F17" i="1"/>
  <c r="G17" i="1"/>
  <c r="E17" i="1"/>
  <c r="F12" i="1"/>
  <c r="G12" i="1"/>
  <c r="E12" i="1"/>
  <c r="F8" i="1"/>
  <c r="G8" i="1"/>
  <c r="E8" i="1"/>
  <c r="D49" i="3"/>
  <c r="E49" i="3"/>
  <c r="C49" i="3"/>
  <c r="D47" i="3"/>
  <c r="E47" i="3"/>
  <c r="C47" i="3"/>
  <c r="E44" i="3"/>
  <c r="D44" i="3"/>
  <c r="C44" i="3"/>
  <c r="D40" i="3"/>
  <c r="E40" i="3"/>
  <c r="C40" i="3"/>
  <c r="C20" i="3"/>
  <c r="D37" i="3"/>
  <c r="E37" i="3"/>
  <c r="C37" i="3"/>
  <c r="D36" i="3"/>
  <c r="E36" i="3"/>
  <c r="C36" i="3"/>
  <c r="D34" i="3"/>
  <c r="E34" i="3"/>
  <c r="C34" i="3"/>
  <c r="E28" i="3"/>
  <c r="C28" i="3"/>
  <c r="D26" i="3"/>
  <c r="E26" i="3"/>
  <c r="E22" i="3"/>
  <c r="D22" i="3"/>
  <c r="C22" i="3"/>
  <c r="E20" i="3"/>
  <c r="D28" i="3"/>
  <c r="D20" i="3" l="1"/>
  <c r="D108" i="1"/>
  <c r="C108" i="1"/>
  <c r="B108" i="1"/>
  <c r="D99" i="1"/>
  <c r="C99" i="1"/>
  <c r="B99" i="1"/>
  <c r="D68" i="1" l="1"/>
  <c r="C68" i="1"/>
  <c r="B68" i="1"/>
  <c r="D61" i="1"/>
  <c r="C61" i="1"/>
  <c r="B61" i="1"/>
  <c r="D56" i="1"/>
  <c r="C56" i="1"/>
  <c r="B56" i="1"/>
  <c r="D47" i="1"/>
  <c r="C47" i="1"/>
  <c r="B47" i="1"/>
  <c r="D42" i="1"/>
  <c r="C42" i="1"/>
  <c r="B42" i="1"/>
  <c r="D17" i="1"/>
  <c r="C17" i="1"/>
  <c r="B17" i="1"/>
  <c r="D12" i="1"/>
  <c r="C12" i="1"/>
  <c r="B12" i="1"/>
  <c r="D8" i="1"/>
  <c r="C8" i="1"/>
  <c r="B8" i="1"/>
  <c r="E3" i="3"/>
  <c r="D3" i="3"/>
  <c r="C3" i="3"/>
  <c r="D33" i="1"/>
  <c r="D73" i="1" s="1"/>
  <c r="C33" i="1"/>
  <c r="C73" i="1" s="1"/>
  <c r="B33" i="1"/>
  <c r="B73" i="1" s="1"/>
  <c r="C11" i="3" l="1"/>
  <c r="D11" i="3"/>
  <c r="E11" i="3"/>
  <c r="E12" i="3" s="1"/>
  <c r="D6" i="3"/>
  <c r="D7" i="3"/>
  <c r="B13" i="1"/>
  <c r="B18" i="1" s="1"/>
  <c r="B20" i="1" s="1"/>
  <c r="B22" i="1" s="1"/>
  <c r="B76" i="1" s="1"/>
  <c r="B91" i="1" s="1"/>
  <c r="B109" i="1" s="1"/>
  <c r="D10" i="3"/>
  <c r="C13" i="1"/>
  <c r="C18" i="1" s="1"/>
  <c r="C20" i="1" s="1"/>
  <c r="C22" i="1" s="1"/>
  <c r="C76" i="1" s="1"/>
  <c r="C91" i="1" s="1"/>
  <c r="C109" i="1" s="1"/>
  <c r="B48" i="1"/>
  <c r="E6" i="3"/>
  <c r="E7" i="3"/>
  <c r="D13" i="1"/>
  <c r="D18" i="1" s="1"/>
  <c r="D20" i="1" s="1"/>
  <c r="D22" i="1" s="1"/>
  <c r="D76" i="1" s="1"/>
  <c r="D91" i="1" s="1"/>
  <c r="D109" i="1" s="1"/>
  <c r="C10" i="3"/>
  <c r="B62" i="1"/>
  <c r="C7" i="3"/>
  <c r="C6" i="3"/>
  <c r="C62" i="1"/>
  <c r="C69" i="1" s="1"/>
  <c r="C48" i="1"/>
  <c r="D62" i="1"/>
  <c r="D69" i="1" s="1"/>
  <c r="D48" i="1"/>
  <c r="B69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D12" i="3" l="1"/>
  <c r="C12" i="3"/>
  <c r="A24" i="3"/>
  <c r="A25" i="3" s="1"/>
  <c r="A26" i="3" s="1"/>
  <c r="A27" i="3" s="1"/>
  <c r="A28" i="3" s="1"/>
  <c r="A29" i="3" s="1"/>
  <c r="A30" i="3" s="1"/>
  <c r="A33" i="3"/>
  <c r="A39" i="3" l="1"/>
  <c r="A40" i="3" s="1"/>
  <c r="A41" i="3" s="1"/>
  <c r="A42" i="3" s="1"/>
  <c r="A43" i="3" s="1"/>
  <c r="A44" i="3" s="1"/>
  <c r="A46" i="3" s="1"/>
  <c r="A48" i="3" s="1"/>
  <c r="A50" i="3" s="1"/>
  <c r="A34" i="3"/>
  <c r="A35" i="3" s="1"/>
  <c r="A36" i="3" s="1"/>
  <c r="A37" i="3" s="1"/>
</calcChain>
</file>

<file path=xl/sharedStrings.xml><?xml version="1.0" encoding="utf-8"?>
<sst xmlns="http://schemas.openxmlformats.org/spreadsheetml/2006/main" count="195" uniqueCount="167">
  <si>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</si>
  <si>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</si>
  <si>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</si>
  <si>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</si>
  <si>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</si>
  <si>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</si>
  <si>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</si>
  <si>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</si>
  <si>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</si>
  <si>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</si>
  <si>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</si>
  <si>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</si>
  <si>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</si>
  <si>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</si>
  <si>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</si>
  <si>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</si>
  <si>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</si>
  <si>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</si>
  <si>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</si>
  <si>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</si>
  <si>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</si>
  <si>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</si>
  <si>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</si>
  <si>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</si>
  <si>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</si>
  <si>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</si>
  <si>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</si>
  <si>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</si>
  <si>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</si>
  <si>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</si>
  <si>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</si>
  <si>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</si>
  <si>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</si>
  <si>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</si>
  <si>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</si>
  <si>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</si>
  <si>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</si>
  <si>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</si>
  <si>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</si>
  <si>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</si>
  <si>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</si>
  <si>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</si>
  <si>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</si>
  <si>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</si>
  <si>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</si>
  <si>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</si>
  <si>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</si>
  <si>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</si>
  <si>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</si>
  <si>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</si>
  <si>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</si>
  <si>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</si>
  <si>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</si>
  <si>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</si>
  <si>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</si>
  <si>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</si>
  <si>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</si>
  <si>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</si>
  <si>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</si>
  <si>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</si>
  <si>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</si>
  <si>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</si>
  <si>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</si>
  <si>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</si>
  <si>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</si>
  <si>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</si>
  <si>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</si>
  <si>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</si>
  <si>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</si>
  <si>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</si>
  <si>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</si>
  <si>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</si>
  <si>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</si>
  <si>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</si>
  <si>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</si>
  <si>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</si>
  <si>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</si>
  <si>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</si>
  <si>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</si>
  <si>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</si>
  <si>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</si>
  <si>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</si>
  <si>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</si>
  <si>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</si>
  <si>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</si>
  <si>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</si>
  <si>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</si>
  <si>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</si>
  <si>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</si>
  <si>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</si>
  <si>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</si>
  <si>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</si>
  <si>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</si>
  <si>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</si>
  <si>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</si>
  <si>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</si>
  <si>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</si>
  <si>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</si>
  <si>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</si>
  <si>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</si>
  <si>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</si>
  <si>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</si>
  <si>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</si>
  <si>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</si>
  <si>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</si>
  <si>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</si>
  <si>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</si>
  <si>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</si>
  <si>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</si>
  <si>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</si>
  <si>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</si>
  <si>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</si>
  <si>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</si>
  <si>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</si>
  <si>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</si>
  <si>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</si>
  <si>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</si>
  <si>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</si>
  <si>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</si>
  <si>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</si>
  <si>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</si>
  <si>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</si>
  <si>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</si>
  <si>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</si>
  <si>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</si>
  <si>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</si>
  <si>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</si>
  <si>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</si>
  <si>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</si>
  <si>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</si>
  <si>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</si>
  <si>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</si>
  <si>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</si>
  <si>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</si>
  <si>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</si>
  <si>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</si>
  <si>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</si>
  <si>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</si>
  <si>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</si>
  <si>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</si>
  <si>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</si>
  <si>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</si>
  <si>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</si>
  <si>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</si>
  <si>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</si>
  <si>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</si>
  <si>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</si>
  <si>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</si>
  <si>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</si>
  <si>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</si>
  <si>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 xml:space="preserve">Daily </t>
  </si>
  <si>
    <t xml:space="preserve">Net Sales growth </t>
  </si>
  <si>
    <t xml:space="preserve">Gross profits  growth </t>
  </si>
  <si>
    <t xml:space="preserve">Operating expenses growthh </t>
  </si>
  <si>
    <t xml:space="preserve">Operating income growthh </t>
  </si>
  <si>
    <t xml:space="preserve">Net profit gortwh </t>
  </si>
  <si>
    <t>COGS as a % of net sales</t>
  </si>
  <si>
    <t>Gross profits as a % of net sales</t>
  </si>
  <si>
    <t>Research and Development as a % of net sales</t>
  </si>
  <si>
    <t>Seling, general and administrative and Development as a % of net sales</t>
  </si>
  <si>
    <t xml:space="preserve">Operating income as a % of net sales </t>
  </si>
  <si>
    <t xml:space="preserve">Net profit as a % of net sales </t>
  </si>
  <si>
    <t>Term debt (under long term liabilities)/Total assets</t>
  </si>
  <si>
    <t>Term Debt/(Term Debt + Shareholder equity)</t>
  </si>
  <si>
    <t>Debt repayment can be found in cash flow statement, remove income tax from formula</t>
  </si>
  <si>
    <t>note that the three statements are in millions and share count is in absolute number, therefore divide share count by 1000 in brackets</t>
  </si>
  <si>
    <t>Feedback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</si>
</sst>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0.0"/>
    <numFmt numFmtId="166" formatCode="#,##0.0000_);\(#,##0.0000\)"/>
    <numFmt numFmtId="167" formatCode="#,##0.00000_);\(#,##0.00000\)"/>
    <numFmt numFmtId="168" formatCode="_(* #,##0.000_);_(* \(#,##0.000\);_(* &quot;-&quot;???_);_(@_)"/>
    <numFmt numFmtId="170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4" fontId="0" fillId="0" borderId="0" xfId="1" applyFont="1"/>
    <xf numFmtId="164" fontId="2" fillId="0" borderId="1" xfId="1" applyFont="1" applyBorder="1"/>
    <xf numFmtId="164" fontId="2" fillId="0" borderId="2" xfId="1" applyFont="1" applyBorder="1"/>
    <xf numFmtId="164" fontId="2" fillId="0" borderId="0" xfId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5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2" fillId="0" borderId="0" xfId="0" applyFont="1" applyBorder="1"/>
    <xf numFmtId="164" fontId="0" fillId="0" borderId="3" xfId="1" applyFont="1" applyBorder="1"/>
    <xf numFmtId="0" fontId="2" fillId="0" borderId="3" xfId="0" applyFont="1" applyBorder="1" applyAlignment="1">
      <alignment horizontal="left"/>
    </xf>
    <xf numFmtId="0" fontId="0" fillId="0" borderId="0" xfId="0"/>
    <xf numFmtId="164" fontId="0" fillId="0" borderId="0" xfId="0" applyNumberFormat="1"/>
    <xf numFmtId="10" fontId="0" fillId="0" borderId="0" xfId="0" applyNumberFormat="1"/>
    <xf numFmtId="4" fontId="0" fillId="0" borderId="0" xfId="0" applyNumberFormat="1"/>
    <xf numFmtId="0" fontId="0" fillId="0" borderId="0" xfId="0" applyNumberFormat="1"/>
    <xf numFmtId="39" fontId="0" fillId="0" borderId="0" xfId="0" applyNumberFormat="1"/>
    <xf numFmtId="4" fontId="8" fillId="0" borderId="0" xfId="0" applyNumberFormat="1" applyFont="1"/>
    <xf numFmtId="166" fontId="0" fillId="0" borderId="0" xfId="0" applyNumberFormat="1"/>
    <xf numFmtId="0" fontId="0" fillId="0" borderId="0" xfId="0" applyFont="1" applyAlignment="1">
      <alignment horizontal="left" indent="1"/>
    </xf>
    <xf numFmtId="167" fontId="0" fillId="0" borderId="0" xfId="0" applyNumberFormat="1"/>
    <xf numFmtId="168" fontId="0" fillId="0" borderId="0" xfId="0" applyNumberFormat="1"/>
    <xf numFmtId="2" fontId="0" fillId="0" borderId="0" xfId="0" applyNumberForma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170" fontId="0" fillId="0" borderId="0" xfId="1" applyNumberFormat="1" applyFont="1"/>
    <xf numFmtId="0" fontId="9" fillId="2" borderId="0" xfId="0" applyFont="1" applyFill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topLeftCell="A13" zoomScale="136" workbookViewId="0">
      <selection activeCell="A25" sqref="A25"/>
    </sheetView>
  </sheetViews>
  <sheetFormatPr defaultColWidth="8.77734375" defaultRowHeight="14.4" x14ac:dyDescent="0.3"/>
  <cols>
    <col min="1" max="1" width="104.44140625" customWidth="1"/>
  </cols>
  <sheetData>
    <row r="1" spans="1:1" ht="23.4" x14ac:dyDescent="0.45">
      <c r="A1" s="5" t="s">
        <v>87</v>
      </c>
    </row>
    <row r="3" spans="1:1" x14ac:dyDescent="0.3">
      <c r="A3" s="7" t="s">
        <v>141</v>
      </c>
    </row>
    <row r="4" spans="1:1" x14ac:dyDescent="0.3">
      <c r="A4" s="16" t="s">
        <v>88</v>
      </c>
    </row>
    <row r="5" spans="1:1" x14ac:dyDescent="0.3">
      <c r="A5" s="7" t="s">
        <v>97</v>
      </c>
    </row>
    <row r="6" spans="1:1" x14ac:dyDescent="0.3">
      <c r="A6" s="1" t="s">
        <v>148</v>
      </c>
    </row>
    <row r="7" spans="1:1" x14ac:dyDescent="0.3">
      <c r="A7" s="1"/>
    </row>
    <row r="8" spans="1:1" x14ac:dyDescent="0.3">
      <c r="A8" s="17" t="s">
        <v>149</v>
      </c>
    </row>
    <row r="9" spans="1:1" x14ac:dyDescent="0.3">
      <c r="A9" s="1" t="s">
        <v>145</v>
      </c>
    </row>
    <row r="10" spans="1:1" x14ac:dyDescent="0.3">
      <c r="A10" s="1" t="s">
        <v>89</v>
      </c>
    </row>
    <row r="11" spans="1:1" x14ac:dyDescent="0.3">
      <c r="A11" s="1" t="s">
        <v>90</v>
      </c>
    </row>
    <row r="12" spans="1:1" x14ac:dyDescent="0.3">
      <c r="A12" s="1" t="s">
        <v>91</v>
      </c>
    </row>
    <row r="13" spans="1:1" x14ac:dyDescent="0.3">
      <c r="A13" s="1"/>
    </row>
    <row r="14" spans="1:1" x14ac:dyDescent="0.3">
      <c r="A14" s="17" t="s">
        <v>92</v>
      </c>
    </row>
    <row r="15" spans="1:1" x14ac:dyDescent="0.3">
      <c r="A15" s="1" t="s">
        <v>146</v>
      </c>
    </row>
    <row r="16" spans="1:1" x14ac:dyDescent="0.3">
      <c r="A16" s="1" t="s">
        <v>89</v>
      </c>
    </row>
    <row r="17" spans="1:1" x14ac:dyDescent="0.3">
      <c r="A17" s="1" t="s">
        <v>90</v>
      </c>
    </row>
    <row r="18" spans="1:1" x14ac:dyDescent="0.3">
      <c r="A18" s="1" t="s">
        <v>14</v>
      </c>
    </row>
    <row r="19" spans="1:1" x14ac:dyDescent="0.3">
      <c r="A19" s="1" t="s">
        <v>93</v>
      </c>
    </row>
    <row r="20" spans="1:1" x14ac:dyDescent="0.3">
      <c r="A20" s="1"/>
    </row>
    <row r="21" spans="1:1" x14ac:dyDescent="0.3">
      <c r="A21" s="17" t="s">
        <v>98</v>
      </c>
    </row>
    <row r="22" spans="1:1" x14ac:dyDescent="0.3">
      <c r="A22" s="1" t="s">
        <v>94</v>
      </c>
    </row>
    <row r="23" spans="1:1" x14ac:dyDescent="0.3">
      <c r="A23" s="1" t="s">
        <v>95</v>
      </c>
    </row>
    <row r="24" spans="1:1" x14ac:dyDescent="0.3">
      <c r="A24" s="1" t="s">
        <v>96</v>
      </c>
    </row>
    <row r="25" spans="1:1" x14ac:dyDescent="0.3">
      <c r="A25" s="1"/>
    </row>
    <row r="26" spans="1:1" x14ac:dyDescent="0.3">
      <c r="A26" s="17" t="s">
        <v>144</v>
      </c>
    </row>
    <row r="27" spans="1:1" x14ac:dyDescent="0.3">
      <c r="A27" s="16" t="s">
        <v>143</v>
      </c>
    </row>
    <row r="29" spans="1:1" x14ac:dyDescent="0.3">
      <c r="A29" s="7" t="s">
        <v>147</v>
      </c>
    </row>
  </sheetData>
  <hyperlinks>
    <hyperlink ref="A4" r:id="rId1"/>
    <hyperlink ref="A27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4"/>
  <sheetViews>
    <sheetView topLeftCell="A10" zoomScale="120" zoomScaleNormal="120" workbookViewId="0">
      <selection activeCell="D16" sqref="D16"/>
    </sheetView>
  </sheetViews>
  <sheetFormatPr defaultColWidth="8.77734375" defaultRowHeight="14.4" x14ac:dyDescent="0.3"/>
  <cols>
    <col min="1" max="1" width="59" customWidth="1"/>
    <col min="2" max="3" width="11.44140625" bestFit="1" customWidth="1"/>
    <col min="4" max="4" width="11.6640625" bestFit="1" customWidth="1"/>
    <col min="5" max="5" width="11.109375" bestFit="1" customWidth="1"/>
    <col min="6" max="6" width="11.77734375" bestFit="1" customWidth="1"/>
  </cols>
  <sheetData>
    <row r="1" spans="1:11" ht="60" customHeight="1" x14ac:dyDescent="0.3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1" x14ac:dyDescent="0.3">
      <c r="A2" s="37" t="s">
        <v>1</v>
      </c>
      <c r="B2" s="37"/>
      <c r="C2" s="37"/>
      <c r="D2" s="37"/>
    </row>
    <row r="3" spans="1:11" x14ac:dyDescent="0.3">
      <c r="B3" s="36" t="s">
        <v>23</v>
      </c>
      <c r="C3" s="36"/>
      <c r="D3" s="36"/>
      <c r="E3" t="s">
        <v>150</v>
      </c>
    </row>
    <row r="4" spans="1:11" x14ac:dyDescent="0.3">
      <c r="B4" s="7">
        <v>2022</v>
      </c>
      <c r="C4" s="7">
        <v>2021</v>
      </c>
      <c r="D4" s="7">
        <v>2020</v>
      </c>
    </row>
    <row r="5" spans="1:11" x14ac:dyDescent="0.3">
      <c r="A5" t="s">
        <v>3</v>
      </c>
    </row>
    <row r="6" spans="1:11" x14ac:dyDescent="0.3">
      <c r="A6" s="1" t="s">
        <v>4</v>
      </c>
      <c r="B6" s="12">
        <v>316199</v>
      </c>
      <c r="C6" s="12">
        <v>297392</v>
      </c>
      <c r="D6" s="12">
        <v>220747</v>
      </c>
    </row>
    <row r="7" spans="1:11" x14ac:dyDescent="0.3">
      <c r="A7" s="1" t="s">
        <v>5</v>
      </c>
      <c r="B7" s="12">
        <v>78129</v>
      </c>
      <c r="C7" s="12">
        <v>68425</v>
      </c>
      <c r="D7" s="12">
        <v>53768</v>
      </c>
    </row>
    <row r="8" spans="1:11" x14ac:dyDescent="0.3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  <c r="E8" s="25">
        <f>B8/365</f>
        <v>1080.3506849315067</v>
      </c>
      <c r="F8" s="25">
        <f t="shared" ref="F8:G8" si="1">C8/365</f>
        <v>1002.2383561643836</v>
      </c>
      <c r="G8" s="25">
        <f t="shared" si="1"/>
        <v>752.09589041095887</v>
      </c>
    </row>
    <row r="9" spans="1:11" x14ac:dyDescent="0.3">
      <c r="A9" t="s">
        <v>7</v>
      </c>
      <c r="B9" s="12"/>
      <c r="C9" s="12"/>
      <c r="D9" s="12"/>
    </row>
    <row r="10" spans="1:11" x14ac:dyDescent="0.3">
      <c r="A10" s="1" t="s">
        <v>4</v>
      </c>
      <c r="B10" s="12">
        <v>201471</v>
      </c>
      <c r="C10" s="12">
        <v>192266</v>
      </c>
      <c r="D10" s="12">
        <v>151286</v>
      </c>
    </row>
    <row r="11" spans="1:11" x14ac:dyDescent="0.3">
      <c r="A11" s="1" t="s">
        <v>5</v>
      </c>
      <c r="B11" s="12">
        <v>22075</v>
      </c>
      <c r="C11" s="12">
        <v>20715</v>
      </c>
      <c r="D11" s="12">
        <v>18273</v>
      </c>
    </row>
    <row r="12" spans="1:11" x14ac:dyDescent="0.3">
      <c r="A12" s="8" t="s">
        <v>8</v>
      </c>
      <c r="B12" s="13">
        <f>+B10+B11</f>
        <v>223546</v>
      </c>
      <c r="C12" s="13">
        <f t="shared" ref="C12:D12" si="2">+C10+C11</f>
        <v>212981</v>
      </c>
      <c r="D12" s="13">
        <f t="shared" si="2"/>
        <v>169559</v>
      </c>
      <c r="E12" s="25">
        <f>B12/365</f>
        <v>612.45479452054792</v>
      </c>
      <c r="F12" s="25">
        <f t="shared" ref="F12:G12" si="3">C12/365</f>
        <v>583.50958904109586</v>
      </c>
      <c r="G12" s="25">
        <f t="shared" si="3"/>
        <v>464.54520547945208</v>
      </c>
    </row>
    <row r="13" spans="1:11" x14ac:dyDescent="0.3">
      <c r="A13" s="8" t="s">
        <v>9</v>
      </c>
      <c r="B13" s="13">
        <f>+B8-B12</f>
        <v>170782</v>
      </c>
      <c r="C13" s="13">
        <f t="shared" ref="C13:D13" si="4">+C8-C12</f>
        <v>152836</v>
      </c>
      <c r="D13" s="13">
        <f t="shared" si="4"/>
        <v>104956</v>
      </c>
    </row>
    <row r="14" spans="1:11" x14ac:dyDescent="0.3">
      <c r="A14" t="s">
        <v>10</v>
      </c>
      <c r="B14" s="12"/>
      <c r="C14" s="12"/>
      <c r="D14" s="12"/>
    </row>
    <row r="15" spans="1:11" x14ac:dyDescent="0.3">
      <c r="A15" s="1" t="s">
        <v>11</v>
      </c>
      <c r="B15" s="12">
        <v>26251</v>
      </c>
      <c r="C15" s="12">
        <v>21914</v>
      </c>
      <c r="D15" s="12">
        <v>18752</v>
      </c>
    </row>
    <row r="16" spans="1:11" x14ac:dyDescent="0.3">
      <c r="A16" s="1" t="s">
        <v>12</v>
      </c>
      <c r="B16" s="12">
        <v>25094</v>
      </c>
      <c r="C16" s="12">
        <v>21973</v>
      </c>
      <c r="D16" s="12">
        <v>19916</v>
      </c>
      <c r="I16" s="13"/>
      <c r="J16" s="13"/>
      <c r="K16" s="13"/>
    </row>
    <row r="17" spans="1:7" x14ac:dyDescent="0.3">
      <c r="A17" s="8" t="s">
        <v>13</v>
      </c>
      <c r="B17" s="13">
        <f>+B15+B16</f>
        <v>51345</v>
      </c>
      <c r="C17" s="13">
        <f t="shared" ref="C17" si="5">+C15+C16</f>
        <v>43887</v>
      </c>
      <c r="D17" s="13">
        <f t="shared" ref="D17" si="6">+D15+D16</f>
        <v>38668</v>
      </c>
      <c r="E17" s="25">
        <f>B17/365</f>
        <v>140.67123287671234</v>
      </c>
      <c r="F17" s="25">
        <f t="shared" ref="F17:G17" si="7">C17/365</f>
        <v>120.23835616438356</v>
      </c>
      <c r="G17" s="25">
        <f t="shared" si="7"/>
        <v>105.93972602739726</v>
      </c>
    </row>
    <row r="18" spans="1:7" s="21" customFormat="1" x14ac:dyDescent="0.3">
      <c r="A18" s="8" t="s">
        <v>14</v>
      </c>
      <c r="B18" s="13">
        <f>+B13-B17</f>
        <v>119437</v>
      </c>
      <c r="C18" s="13">
        <f t="shared" ref="C18:D18" si="8">+C13-C17</f>
        <v>108949</v>
      </c>
      <c r="D18" s="13">
        <f t="shared" si="8"/>
        <v>66288</v>
      </c>
    </row>
    <row r="19" spans="1:7" x14ac:dyDescent="0.3">
      <c r="A19" t="s">
        <v>15</v>
      </c>
      <c r="B19" s="12">
        <v>-334</v>
      </c>
      <c r="C19" s="12">
        <v>258</v>
      </c>
      <c r="D19" s="12">
        <v>803</v>
      </c>
    </row>
    <row r="20" spans="1:7" x14ac:dyDescent="0.3">
      <c r="A20" s="8" t="s">
        <v>16</v>
      </c>
      <c r="B20" s="13">
        <f>+B18+B19</f>
        <v>119103</v>
      </c>
      <c r="C20" s="13">
        <f t="shared" ref="C20:D20" si="9">+C18+C19</f>
        <v>109207</v>
      </c>
      <c r="D20" s="13">
        <f t="shared" si="9"/>
        <v>67091</v>
      </c>
    </row>
    <row r="21" spans="1:7" x14ac:dyDescent="0.3">
      <c r="A21" t="s">
        <v>17</v>
      </c>
      <c r="B21" s="12">
        <v>19300</v>
      </c>
      <c r="C21" s="12">
        <v>14527</v>
      </c>
      <c r="D21" s="12">
        <v>9680</v>
      </c>
    </row>
    <row r="22" spans="1:7" ht="15" thickBot="1" x14ac:dyDescent="0.35">
      <c r="A22" s="9" t="s">
        <v>18</v>
      </c>
      <c r="B22" s="14">
        <f>+B20-B21</f>
        <v>99803</v>
      </c>
      <c r="C22" s="14">
        <f t="shared" ref="C22:D22" si="10">+C20-C21</f>
        <v>94680</v>
      </c>
      <c r="D22" s="14">
        <f t="shared" si="10"/>
        <v>57411</v>
      </c>
    </row>
    <row r="23" spans="1:7" ht="15" thickTop="1" x14ac:dyDescent="0.3">
      <c r="A23" t="s">
        <v>19</v>
      </c>
    </row>
    <row r="24" spans="1:7" x14ac:dyDescent="0.3">
      <c r="A24" s="1" t="s">
        <v>20</v>
      </c>
      <c r="B24" s="10">
        <v>6.15</v>
      </c>
      <c r="C24" s="10">
        <v>5.67</v>
      </c>
      <c r="D24" s="10">
        <v>3.31</v>
      </c>
    </row>
    <row r="25" spans="1:7" x14ac:dyDescent="0.3">
      <c r="A25" s="1" t="s">
        <v>21</v>
      </c>
      <c r="B25" s="10">
        <v>6.11</v>
      </c>
      <c r="C25" s="10">
        <v>5.61</v>
      </c>
      <c r="D25" s="10">
        <v>3.28</v>
      </c>
    </row>
    <row r="26" spans="1:7" x14ac:dyDescent="0.3">
      <c r="A26" t="s">
        <v>22</v>
      </c>
    </row>
    <row r="27" spans="1:7" x14ac:dyDescent="0.3">
      <c r="A27" s="1" t="s">
        <v>20</v>
      </c>
      <c r="B27" s="2">
        <v>16215963</v>
      </c>
      <c r="C27" s="2">
        <v>16701272</v>
      </c>
      <c r="D27" s="2">
        <v>17352119</v>
      </c>
    </row>
    <row r="28" spans="1:7" x14ac:dyDescent="0.3">
      <c r="A28" s="1" t="s">
        <v>21</v>
      </c>
      <c r="B28" s="2">
        <v>16325819</v>
      </c>
      <c r="C28" s="2">
        <v>16864919</v>
      </c>
      <c r="D28" s="2">
        <v>17528214</v>
      </c>
    </row>
    <row r="31" spans="1:7" x14ac:dyDescent="0.3">
      <c r="A31" s="37" t="s">
        <v>24</v>
      </c>
      <c r="B31" s="37"/>
      <c r="C31" s="37"/>
      <c r="D31" s="37"/>
    </row>
    <row r="32" spans="1:7" x14ac:dyDescent="0.3">
      <c r="B32" s="36" t="s">
        <v>142</v>
      </c>
      <c r="C32" s="36"/>
      <c r="D32" s="36"/>
    </row>
    <row r="33" spans="1:5" x14ac:dyDescent="0.3">
      <c r="B33" s="7">
        <f>+B4</f>
        <v>2022</v>
      </c>
      <c r="C33" s="7">
        <f t="shared" ref="C33:D33" si="11">+C4</f>
        <v>2021</v>
      </c>
      <c r="D33" s="7">
        <f t="shared" si="11"/>
        <v>2020</v>
      </c>
    </row>
    <row r="35" spans="1:5" x14ac:dyDescent="0.3">
      <c r="A35" t="s">
        <v>25</v>
      </c>
    </row>
    <row r="36" spans="1:5" x14ac:dyDescent="0.3">
      <c r="A36" s="1" t="s">
        <v>26</v>
      </c>
      <c r="B36" s="12">
        <v>23646</v>
      </c>
      <c r="C36" s="12">
        <v>34940</v>
      </c>
      <c r="D36" s="12">
        <v>38016</v>
      </c>
    </row>
    <row r="37" spans="1:5" x14ac:dyDescent="0.3">
      <c r="A37" s="1" t="s">
        <v>27</v>
      </c>
      <c r="B37" s="12">
        <v>24658</v>
      </c>
      <c r="C37" s="12">
        <v>27699</v>
      </c>
      <c r="D37" s="12">
        <v>52927</v>
      </c>
    </row>
    <row r="38" spans="1:5" x14ac:dyDescent="0.3">
      <c r="A38" s="1" t="s">
        <v>28</v>
      </c>
      <c r="B38" s="12">
        <v>28184</v>
      </c>
      <c r="C38" s="12">
        <v>26278</v>
      </c>
      <c r="D38" s="12">
        <v>16120</v>
      </c>
    </row>
    <row r="39" spans="1:5" x14ac:dyDescent="0.3">
      <c r="A39" s="1" t="s">
        <v>29</v>
      </c>
      <c r="B39" s="12">
        <v>4946</v>
      </c>
      <c r="C39" s="12">
        <v>6580</v>
      </c>
      <c r="D39" s="12">
        <v>4061</v>
      </c>
    </row>
    <row r="40" spans="1:5" x14ac:dyDescent="0.3">
      <c r="A40" s="1" t="s">
        <v>47</v>
      </c>
      <c r="B40" s="12">
        <v>32748</v>
      </c>
      <c r="C40" s="12">
        <v>25228</v>
      </c>
      <c r="D40" s="12">
        <v>21325</v>
      </c>
    </row>
    <row r="41" spans="1:5" x14ac:dyDescent="0.3">
      <c r="A41" s="1" t="s">
        <v>30</v>
      </c>
      <c r="B41" s="12">
        <v>21223</v>
      </c>
      <c r="C41" s="12">
        <v>14111</v>
      </c>
      <c r="D41" s="12">
        <v>11264</v>
      </c>
    </row>
    <row r="42" spans="1:5" x14ac:dyDescent="0.3">
      <c r="A42" s="8" t="s">
        <v>31</v>
      </c>
      <c r="B42" s="13">
        <f>+SUM(B36:B41)</f>
        <v>135405</v>
      </c>
      <c r="C42" s="13">
        <f t="shared" ref="C42:D42" si="12">+SUM(C36:C41)</f>
        <v>134836</v>
      </c>
      <c r="D42" s="13">
        <f t="shared" si="12"/>
        <v>143713</v>
      </c>
      <c r="E42" s="24"/>
    </row>
    <row r="43" spans="1:5" x14ac:dyDescent="0.3">
      <c r="A43" t="s">
        <v>48</v>
      </c>
      <c r="B43" s="12"/>
      <c r="C43" s="12"/>
      <c r="D43" s="12"/>
    </row>
    <row r="44" spans="1:5" x14ac:dyDescent="0.3">
      <c r="A44" s="1" t="s">
        <v>27</v>
      </c>
      <c r="B44" s="12">
        <v>120805</v>
      </c>
      <c r="C44" s="12">
        <v>127877</v>
      </c>
      <c r="D44" s="12">
        <v>100887</v>
      </c>
    </row>
    <row r="45" spans="1:5" x14ac:dyDescent="0.3">
      <c r="A45" s="1" t="s">
        <v>32</v>
      </c>
      <c r="B45" s="12">
        <v>42117</v>
      </c>
      <c r="C45" s="12">
        <v>39440</v>
      </c>
      <c r="D45" s="12">
        <v>36766</v>
      </c>
      <c r="E45" s="24"/>
    </row>
    <row r="46" spans="1:5" x14ac:dyDescent="0.3">
      <c r="A46" s="1" t="s">
        <v>49</v>
      </c>
      <c r="B46" s="12">
        <v>54428</v>
      </c>
      <c r="C46" s="12">
        <v>48849</v>
      </c>
      <c r="D46" s="12">
        <v>42522</v>
      </c>
    </row>
    <row r="47" spans="1:5" x14ac:dyDescent="0.3">
      <c r="A47" s="8" t="s">
        <v>50</v>
      </c>
      <c r="B47" s="13">
        <f>+SUM(B44:B46)</f>
        <v>217350</v>
      </c>
      <c r="C47" s="13">
        <f t="shared" ref="C47:D47" si="13">+SUM(C44:C46)</f>
        <v>216166</v>
      </c>
      <c r="D47" s="13">
        <f t="shared" si="13"/>
        <v>180175</v>
      </c>
    </row>
    <row r="48" spans="1:5" ht="15" thickBot="1" x14ac:dyDescent="0.35">
      <c r="A48" s="9" t="s">
        <v>33</v>
      </c>
      <c r="B48" s="14">
        <f>+B42+B47</f>
        <v>352755</v>
      </c>
      <c r="C48" s="14">
        <f t="shared" ref="C48:D48" si="14">+C42+C47</f>
        <v>351002</v>
      </c>
      <c r="D48" s="14">
        <f t="shared" si="14"/>
        <v>323888</v>
      </c>
    </row>
    <row r="49" spans="1:7" ht="15" thickTop="1" x14ac:dyDescent="0.3"/>
    <row r="50" spans="1:7" x14ac:dyDescent="0.3">
      <c r="A50" t="s">
        <v>34</v>
      </c>
    </row>
    <row r="51" spans="1:7" x14ac:dyDescent="0.3">
      <c r="A51" s="1" t="s">
        <v>35</v>
      </c>
      <c r="B51" s="12">
        <v>64115</v>
      </c>
      <c r="C51" s="12">
        <v>54763</v>
      </c>
      <c r="D51" s="12">
        <v>42296</v>
      </c>
    </row>
    <row r="52" spans="1:7" x14ac:dyDescent="0.3">
      <c r="A52" s="1" t="s">
        <v>36</v>
      </c>
      <c r="B52" s="12">
        <v>60845</v>
      </c>
      <c r="C52" s="12">
        <v>47493</v>
      </c>
      <c r="D52" s="12">
        <v>42684</v>
      </c>
    </row>
    <row r="53" spans="1:7" x14ac:dyDescent="0.3">
      <c r="A53" s="1" t="s">
        <v>37</v>
      </c>
      <c r="B53" s="12">
        <v>7912</v>
      </c>
      <c r="C53" s="12">
        <v>7612</v>
      </c>
      <c r="D53" s="12">
        <v>6643</v>
      </c>
    </row>
    <row r="54" spans="1:7" x14ac:dyDescent="0.3">
      <c r="A54" s="1" t="s">
        <v>38</v>
      </c>
      <c r="B54" s="12">
        <v>9982</v>
      </c>
      <c r="C54" s="12">
        <v>6000</v>
      </c>
      <c r="D54" s="12">
        <v>4996</v>
      </c>
    </row>
    <row r="55" spans="1:7" x14ac:dyDescent="0.3">
      <c r="A55" s="1" t="s">
        <v>39</v>
      </c>
      <c r="B55" s="12">
        <v>11128</v>
      </c>
      <c r="C55" s="12">
        <v>9613</v>
      </c>
      <c r="D55" s="12">
        <v>8773</v>
      </c>
      <c r="E55" s="24"/>
      <c r="F55" s="24"/>
    </row>
    <row r="56" spans="1:7" x14ac:dyDescent="0.3">
      <c r="A56" s="8" t="s">
        <v>40</v>
      </c>
      <c r="B56" s="13">
        <f>+SUM(B51:B55)</f>
        <v>153982</v>
      </c>
      <c r="C56" s="13">
        <f t="shared" ref="C56:D56" si="15">+SUM(C51:C55)</f>
        <v>125481</v>
      </c>
      <c r="D56" s="13">
        <f t="shared" si="15"/>
        <v>105392</v>
      </c>
      <c r="E56" s="25"/>
    </row>
    <row r="57" spans="1:7" x14ac:dyDescent="0.3">
      <c r="A57" t="s">
        <v>51</v>
      </c>
      <c r="B57" s="12"/>
      <c r="C57" s="12"/>
      <c r="D57" s="12"/>
    </row>
    <row r="58" spans="1:7" x14ac:dyDescent="0.3">
      <c r="A58" s="1" t="s">
        <v>37</v>
      </c>
      <c r="B58" s="12"/>
      <c r="C58" s="12"/>
      <c r="D58" s="12"/>
    </row>
    <row r="59" spans="1:7" x14ac:dyDescent="0.3">
      <c r="A59" s="1" t="s">
        <v>39</v>
      </c>
      <c r="B59" s="12">
        <v>98959</v>
      </c>
      <c r="C59" s="12">
        <v>109106</v>
      </c>
      <c r="D59" s="12">
        <v>98667</v>
      </c>
      <c r="E59" s="25"/>
    </row>
    <row r="60" spans="1:7" x14ac:dyDescent="0.3">
      <c r="A60" s="1" t="s">
        <v>52</v>
      </c>
      <c r="B60" s="12">
        <v>49142</v>
      </c>
      <c r="C60" s="12">
        <v>53325</v>
      </c>
      <c r="D60" s="12">
        <v>54490</v>
      </c>
    </row>
    <row r="61" spans="1:7" x14ac:dyDescent="0.3">
      <c r="A61" s="23" t="s">
        <v>53</v>
      </c>
      <c r="B61" s="22">
        <f>+B59+B60</f>
        <v>148101</v>
      </c>
      <c r="C61" s="22">
        <f t="shared" ref="C61:D61" si="16">+C59+C60</f>
        <v>162431</v>
      </c>
      <c r="D61" s="22">
        <f t="shared" si="16"/>
        <v>153157</v>
      </c>
    </row>
    <row r="62" spans="1:7" x14ac:dyDescent="0.3">
      <c r="A62" s="8" t="s">
        <v>41</v>
      </c>
      <c r="B62" s="13">
        <f>+B56+B61</f>
        <v>302083</v>
      </c>
      <c r="C62" s="13">
        <f t="shared" ref="C62:D62" si="17">+C56+C61</f>
        <v>287912</v>
      </c>
      <c r="D62" s="13">
        <f t="shared" si="17"/>
        <v>258549</v>
      </c>
    </row>
    <row r="63" spans="1:7" x14ac:dyDescent="0.3">
      <c r="B63" s="12"/>
      <c r="C63" s="12"/>
      <c r="D63" s="12"/>
      <c r="E63" s="25"/>
      <c r="F63" s="25"/>
      <c r="G63" s="25"/>
    </row>
    <row r="64" spans="1:7" x14ac:dyDescent="0.3">
      <c r="A64" t="s">
        <v>42</v>
      </c>
      <c r="B64" s="12"/>
      <c r="C64" s="12"/>
      <c r="D64" s="12"/>
    </row>
    <row r="65" spans="1:8" x14ac:dyDescent="0.3">
      <c r="A65" s="1" t="s">
        <v>54</v>
      </c>
      <c r="B65" s="12">
        <v>64849</v>
      </c>
      <c r="C65" s="12">
        <v>57365</v>
      </c>
      <c r="D65" s="12">
        <v>50779</v>
      </c>
    </row>
    <row r="66" spans="1:8" x14ac:dyDescent="0.3">
      <c r="A66" s="1" t="s">
        <v>43</v>
      </c>
      <c r="B66" s="12">
        <v>-3068</v>
      </c>
      <c r="C66" s="12">
        <v>5562</v>
      </c>
      <c r="D66" s="12">
        <v>14966</v>
      </c>
    </row>
    <row r="67" spans="1:8" x14ac:dyDescent="0.3">
      <c r="A67" s="1" t="s">
        <v>44</v>
      </c>
      <c r="B67" s="12">
        <v>-11109</v>
      </c>
      <c r="C67" s="12">
        <v>163</v>
      </c>
      <c r="D67" s="12">
        <v>-406</v>
      </c>
    </row>
    <row r="68" spans="1:8" x14ac:dyDescent="0.3">
      <c r="A68" s="8" t="s">
        <v>45</v>
      </c>
      <c r="B68" s="13">
        <f>+SUM(B65:B67)</f>
        <v>50672</v>
      </c>
      <c r="C68" s="13">
        <f t="shared" ref="C68:D68" si="18">+SUM(C65:C67)</f>
        <v>63090</v>
      </c>
      <c r="D68" s="13">
        <f t="shared" si="18"/>
        <v>65339</v>
      </c>
    </row>
    <row r="69" spans="1:8" ht="15" thickBot="1" x14ac:dyDescent="0.35">
      <c r="A69" s="9" t="s">
        <v>46</v>
      </c>
      <c r="B69" s="14">
        <f>+B68+B62</f>
        <v>352755</v>
      </c>
      <c r="C69" s="14">
        <f t="shared" ref="C69:D69" si="19">+C68+C62</f>
        <v>351002</v>
      </c>
      <c r="D69" s="14">
        <f t="shared" si="19"/>
        <v>323888</v>
      </c>
      <c r="F69" s="25"/>
      <c r="G69" s="25"/>
      <c r="H69" s="25"/>
    </row>
    <row r="70" spans="1:8" ht="15" thickTop="1" x14ac:dyDescent="0.3"/>
    <row r="71" spans="1:8" x14ac:dyDescent="0.3">
      <c r="A71" s="37" t="s">
        <v>55</v>
      </c>
      <c r="B71" s="37"/>
      <c r="C71" s="37"/>
      <c r="D71" s="37"/>
    </row>
    <row r="72" spans="1:8" x14ac:dyDescent="0.3">
      <c r="B72" s="36" t="s">
        <v>23</v>
      </c>
      <c r="C72" s="36"/>
      <c r="D72" s="36"/>
    </row>
    <row r="73" spans="1:8" x14ac:dyDescent="0.3">
      <c r="B73" s="7">
        <f>+B33</f>
        <v>2022</v>
      </c>
      <c r="C73" s="7">
        <f t="shared" ref="C73:D73" si="20">+C33</f>
        <v>2021</v>
      </c>
      <c r="D73" s="7">
        <f t="shared" si="20"/>
        <v>2020</v>
      </c>
    </row>
    <row r="75" spans="1:8" x14ac:dyDescent="0.3">
      <c r="A75" s="7" t="s">
        <v>56</v>
      </c>
      <c r="B75" s="15"/>
      <c r="C75" s="15"/>
      <c r="D75" s="15"/>
    </row>
    <row r="76" spans="1:8" x14ac:dyDescent="0.3">
      <c r="A76" t="s">
        <v>57</v>
      </c>
      <c r="B76" s="12">
        <f>+B22</f>
        <v>99803</v>
      </c>
      <c r="C76" s="12">
        <f t="shared" ref="C76:D76" si="21">+C22</f>
        <v>94680</v>
      </c>
      <c r="D76" s="12">
        <f t="shared" si="21"/>
        <v>57411</v>
      </c>
      <c r="F76" s="28"/>
      <c r="G76" s="28"/>
      <c r="H76" s="28"/>
    </row>
    <row r="77" spans="1:8" x14ac:dyDescent="0.3">
      <c r="A77" s="11" t="s">
        <v>18</v>
      </c>
      <c r="B77" s="15"/>
      <c r="C77" s="15"/>
      <c r="D77" s="15"/>
    </row>
    <row r="78" spans="1:8" x14ac:dyDescent="0.3">
      <c r="A78" s="1" t="s">
        <v>58</v>
      </c>
      <c r="B78" s="12"/>
      <c r="C78" s="12"/>
      <c r="D78" s="12"/>
    </row>
    <row r="79" spans="1:8" x14ac:dyDescent="0.3">
      <c r="A79" s="3" t="s">
        <v>59</v>
      </c>
      <c r="B79" s="12">
        <v>11104</v>
      </c>
      <c r="C79" s="12">
        <v>11284</v>
      </c>
      <c r="D79" s="12">
        <v>11056</v>
      </c>
    </row>
    <row r="80" spans="1:8" x14ac:dyDescent="0.3">
      <c r="A80" s="3" t="s">
        <v>83</v>
      </c>
      <c r="B80" s="12">
        <v>9038</v>
      </c>
      <c r="C80" s="12">
        <v>7906</v>
      </c>
      <c r="D80" s="12">
        <v>6829</v>
      </c>
    </row>
    <row r="81" spans="1:9" x14ac:dyDescent="0.3">
      <c r="A81" s="3" t="s">
        <v>60</v>
      </c>
      <c r="B81" s="12">
        <v>895</v>
      </c>
      <c r="C81" s="12">
        <v>-4774</v>
      </c>
      <c r="D81" s="12">
        <v>-215</v>
      </c>
    </row>
    <row r="82" spans="1:9" x14ac:dyDescent="0.3">
      <c r="A82" s="3" t="s">
        <v>61</v>
      </c>
      <c r="B82" s="12">
        <v>111</v>
      </c>
      <c r="C82" s="12">
        <v>-147</v>
      </c>
      <c r="D82" s="12">
        <v>-97</v>
      </c>
      <c r="G82" s="24"/>
      <c r="H82" s="24"/>
      <c r="I82" s="24"/>
    </row>
    <row r="83" spans="1:9" x14ac:dyDescent="0.3">
      <c r="A83" t="s">
        <v>62</v>
      </c>
      <c r="B83" s="12"/>
      <c r="C83" s="12"/>
      <c r="D83" s="12"/>
    </row>
    <row r="84" spans="1:9" x14ac:dyDescent="0.3">
      <c r="A84" s="1" t="s">
        <v>28</v>
      </c>
      <c r="B84" s="12">
        <v>-1823</v>
      </c>
      <c r="C84" s="12">
        <v>-10125</v>
      </c>
      <c r="D84" s="12">
        <v>6917</v>
      </c>
    </row>
    <row r="85" spans="1:9" x14ac:dyDescent="0.3">
      <c r="A85" s="1" t="s">
        <v>29</v>
      </c>
      <c r="B85" s="12">
        <v>1484</v>
      </c>
      <c r="C85" s="12">
        <v>-2642</v>
      </c>
      <c r="D85" s="12">
        <v>-127</v>
      </c>
    </row>
    <row r="86" spans="1:9" x14ac:dyDescent="0.3">
      <c r="A86" s="1" t="s">
        <v>47</v>
      </c>
      <c r="B86" s="12">
        <v>-7520</v>
      </c>
      <c r="C86" s="12">
        <v>-3903</v>
      </c>
      <c r="D86" s="12">
        <v>1553</v>
      </c>
    </row>
    <row r="87" spans="1:9" x14ac:dyDescent="0.3">
      <c r="A87" s="32" t="s">
        <v>84</v>
      </c>
      <c r="B87" s="12">
        <v>-6499</v>
      </c>
      <c r="C87" s="12">
        <v>-8042</v>
      </c>
      <c r="D87" s="12">
        <v>-9588</v>
      </c>
    </row>
    <row r="88" spans="1:9" x14ac:dyDescent="0.3">
      <c r="A88" s="1" t="s">
        <v>35</v>
      </c>
      <c r="B88" s="12">
        <v>9448</v>
      </c>
      <c r="C88" s="12">
        <v>12326</v>
      </c>
      <c r="D88" s="12">
        <v>-4062</v>
      </c>
    </row>
    <row r="89" spans="1:9" x14ac:dyDescent="0.3">
      <c r="A89" s="1" t="s">
        <v>37</v>
      </c>
      <c r="B89" s="12">
        <v>478</v>
      </c>
      <c r="C89" s="12">
        <v>1676</v>
      </c>
      <c r="D89" s="12">
        <v>2081</v>
      </c>
    </row>
    <row r="90" spans="1:9" x14ac:dyDescent="0.3">
      <c r="A90" s="32" t="s">
        <v>85</v>
      </c>
      <c r="B90" s="12">
        <v>5632</v>
      </c>
      <c r="C90" s="12">
        <v>5799</v>
      </c>
      <c r="D90" s="12">
        <v>8916</v>
      </c>
    </row>
    <row r="91" spans="1:9" x14ac:dyDescent="0.3">
      <c r="A91" s="8" t="s">
        <v>63</v>
      </c>
      <c r="B91" s="13">
        <f>+SUM(B76:B90)</f>
        <v>122151</v>
      </c>
      <c r="C91" s="13">
        <f t="shared" ref="C91:D91" si="22">+SUM(C76:C90)</f>
        <v>104038</v>
      </c>
      <c r="D91" s="13">
        <f t="shared" si="22"/>
        <v>80674</v>
      </c>
    </row>
    <row r="92" spans="1:9" x14ac:dyDescent="0.3">
      <c r="A92" s="7" t="s">
        <v>64</v>
      </c>
      <c r="B92" s="12"/>
      <c r="C92" s="12"/>
      <c r="D92" s="12"/>
    </row>
    <row r="93" spans="1:9" x14ac:dyDescent="0.3">
      <c r="A93" s="1" t="s">
        <v>65</v>
      </c>
      <c r="B93" s="12">
        <v>-76923</v>
      </c>
      <c r="C93" s="12">
        <v>-109558</v>
      </c>
      <c r="D93" s="12">
        <v>-114938</v>
      </c>
    </row>
    <row r="94" spans="1:9" x14ac:dyDescent="0.3">
      <c r="A94" s="1" t="s">
        <v>66</v>
      </c>
      <c r="B94" s="12">
        <v>29917</v>
      </c>
      <c r="C94" s="12">
        <v>59023</v>
      </c>
      <c r="D94" s="12">
        <v>69918</v>
      </c>
    </row>
    <row r="95" spans="1:9" x14ac:dyDescent="0.3">
      <c r="A95" s="1" t="s">
        <v>67</v>
      </c>
      <c r="B95" s="12">
        <v>37446</v>
      </c>
      <c r="C95" s="12">
        <v>47460</v>
      </c>
      <c r="D95" s="12">
        <v>50473</v>
      </c>
    </row>
    <row r="96" spans="1:9" x14ac:dyDescent="0.3">
      <c r="A96" s="1" t="s">
        <v>68</v>
      </c>
      <c r="B96" s="12">
        <v>-10708</v>
      </c>
      <c r="C96" s="12">
        <v>-11085</v>
      </c>
      <c r="D96" s="12">
        <v>-7309</v>
      </c>
    </row>
    <row r="97" spans="1:5" x14ac:dyDescent="0.3">
      <c r="A97" s="1" t="s">
        <v>69</v>
      </c>
      <c r="B97" s="12">
        <v>-306</v>
      </c>
      <c r="C97" s="12">
        <v>-33</v>
      </c>
      <c r="D97" s="12">
        <v>-1524</v>
      </c>
    </row>
    <row r="98" spans="1:5" x14ac:dyDescent="0.3">
      <c r="A98" s="1" t="s">
        <v>61</v>
      </c>
      <c r="B98" s="12">
        <v>-1780</v>
      </c>
      <c r="C98" s="12">
        <v>-352</v>
      </c>
      <c r="D98" s="12">
        <v>-909</v>
      </c>
    </row>
    <row r="99" spans="1:5" x14ac:dyDescent="0.3">
      <c r="A99" s="8" t="s">
        <v>70</v>
      </c>
      <c r="B99" s="13">
        <f>+SUM(B93:B98)</f>
        <v>-22354</v>
      </c>
      <c r="C99" s="13">
        <f t="shared" ref="C99:D99" si="23">+SUM(C93:C98)</f>
        <v>-14545</v>
      </c>
      <c r="D99" s="13">
        <f t="shared" si="23"/>
        <v>-4289</v>
      </c>
    </row>
    <row r="100" spans="1:5" x14ac:dyDescent="0.3">
      <c r="A100" s="7" t="s">
        <v>71</v>
      </c>
      <c r="B100" s="12"/>
      <c r="C100" s="12"/>
      <c r="D100" s="12"/>
    </row>
    <row r="101" spans="1:5" x14ac:dyDescent="0.3">
      <c r="A101" s="1" t="s">
        <v>86</v>
      </c>
      <c r="B101" s="12">
        <v>-6223</v>
      </c>
      <c r="C101" s="12">
        <v>-6556</v>
      </c>
      <c r="D101" s="12">
        <v>-3634</v>
      </c>
    </row>
    <row r="102" spans="1:5" x14ac:dyDescent="0.3">
      <c r="A102" s="1" t="s">
        <v>72</v>
      </c>
      <c r="B102" s="12">
        <v>-14841</v>
      </c>
      <c r="C102" s="12">
        <v>-14467</v>
      </c>
      <c r="D102" s="12">
        <v>-14081</v>
      </c>
    </row>
    <row r="103" spans="1:5" x14ac:dyDescent="0.3">
      <c r="A103" s="1" t="s">
        <v>73</v>
      </c>
      <c r="B103" s="12">
        <v>-89402</v>
      </c>
      <c r="C103" s="12">
        <v>-85971</v>
      </c>
      <c r="D103" s="12">
        <v>-72358</v>
      </c>
    </row>
    <row r="104" spans="1:5" x14ac:dyDescent="0.3">
      <c r="A104" s="1" t="s">
        <v>74</v>
      </c>
      <c r="B104" s="12">
        <v>5465</v>
      </c>
      <c r="C104" s="12">
        <v>20393</v>
      </c>
      <c r="D104" s="12">
        <v>16091</v>
      </c>
    </row>
    <row r="105" spans="1:5" x14ac:dyDescent="0.3">
      <c r="A105" s="1" t="s">
        <v>75</v>
      </c>
      <c r="B105" s="12">
        <v>-9543</v>
      </c>
      <c r="C105" s="12">
        <v>-8750</v>
      </c>
      <c r="D105" s="12">
        <v>-12629</v>
      </c>
    </row>
    <row r="106" spans="1:5" x14ac:dyDescent="0.3">
      <c r="A106" s="1" t="s">
        <v>76</v>
      </c>
      <c r="B106" s="12">
        <v>3955</v>
      </c>
      <c r="C106" s="12">
        <v>1022</v>
      </c>
      <c r="D106" s="12">
        <v>-963</v>
      </c>
    </row>
    <row r="107" spans="1:5" x14ac:dyDescent="0.3">
      <c r="A107" s="1" t="s">
        <v>61</v>
      </c>
      <c r="B107" s="12">
        <v>-160</v>
      </c>
      <c r="C107" s="12">
        <v>976</v>
      </c>
      <c r="D107" s="12">
        <v>754</v>
      </c>
    </row>
    <row r="108" spans="1:5" x14ac:dyDescent="0.3">
      <c r="A108" s="8" t="s">
        <v>77</v>
      </c>
      <c r="B108" s="13">
        <f>+SUM(B101:B107)</f>
        <v>-110749</v>
      </c>
      <c r="C108" s="13">
        <f t="shared" ref="C108:D108" si="24">+SUM(C101:C107)</f>
        <v>-93353</v>
      </c>
      <c r="D108" s="13">
        <f t="shared" si="24"/>
        <v>-86820</v>
      </c>
      <c r="E108" s="25"/>
    </row>
    <row r="109" spans="1:5" x14ac:dyDescent="0.3">
      <c r="A109" s="8" t="s">
        <v>78</v>
      </c>
      <c r="B109" s="13">
        <f>+B91+B99+B108</f>
        <v>-10952</v>
      </c>
      <c r="C109" s="13">
        <f t="shared" ref="C109:D109" si="25">+C91+C99+C108</f>
        <v>-3860</v>
      </c>
      <c r="D109" s="13">
        <f t="shared" si="25"/>
        <v>-10435</v>
      </c>
    </row>
    <row r="110" spans="1:5" ht="15" thickBot="1" x14ac:dyDescent="0.35">
      <c r="A110" s="9" t="s">
        <v>79</v>
      </c>
      <c r="B110" s="14">
        <v>24977</v>
      </c>
      <c r="C110" s="14">
        <v>35929</v>
      </c>
      <c r="D110" s="14">
        <v>39789</v>
      </c>
    </row>
    <row r="111" spans="1:5" ht="15" thickTop="1" x14ac:dyDescent="0.3">
      <c r="B111" s="12"/>
      <c r="C111" s="12"/>
      <c r="D111" s="12"/>
    </row>
    <row r="112" spans="1:5" x14ac:dyDescent="0.3">
      <c r="A112" t="s">
        <v>80</v>
      </c>
      <c r="B112" s="12"/>
      <c r="C112" s="12"/>
      <c r="D112" s="12"/>
    </row>
    <row r="113" spans="1:4" x14ac:dyDescent="0.3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3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tabSelected="1" zoomScale="102" workbookViewId="0">
      <selection activeCell="F1" sqref="F1"/>
    </sheetView>
  </sheetViews>
  <sheetFormatPr defaultColWidth="8.77734375" defaultRowHeight="14.4" x14ac:dyDescent="0.3"/>
  <cols>
    <col min="1" max="1" width="4.6640625" customWidth="1"/>
    <col min="2" max="2" width="57.33203125" customWidth="1"/>
    <col min="3" max="5" width="16.33203125" bestFit="1" customWidth="1"/>
    <col min="6" max="6" width="51.44140625" customWidth="1"/>
    <col min="7" max="7" width="11.109375" bestFit="1" customWidth="1"/>
  </cols>
  <sheetData>
    <row r="1" spans="1:9" ht="60" customHeight="1" x14ac:dyDescent="0.5">
      <c r="A1" s="6"/>
      <c r="B1" s="20" t="s">
        <v>0</v>
      </c>
      <c r="C1" s="19"/>
      <c r="D1" s="19"/>
      <c r="E1" s="19"/>
      <c r="F1" s="39" t="s">
        <v>166</v>
      </c>
      <c r="G1" s="19"/>
      <c r="H1" s="19"/>
      <c r="I1" s="19"/>
    </row>
    <row r="2" spans="1:9" x14ac:dyDescent="0.3">
      <c r="C2" s="36" t="s">
        <v>23</v>
      </c>
      <c r="D2" s="36"/>
      <c r="E2" s="36"/>
    </row>
    <row r="3" spans="1:9" x14ac:dyDescent="0.3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9" x14ac:dyDescent="0.3">
      <c r="A4" s="18">
        <v>1</v>
      </c>
      <c r="B4" s="7" t="s">
        <v>99</v>
      </c>
    </row>
    <row r="5" spans="1:9" x14ac:dyDescent="0.3">
      <c r="A5" s="18">
        <f>+A4+0.1</f>
        <v>1.1000000000000001</v>
      </c>
      <c r="B5" s="1" t="s">
        <v>100</v>
      </c>
      <c r="C5">
        <v>0.879</v>
      </c>
      <c r="D5">
        <v>1.0740000000000001</v>
      </c>
      <c r="E5">
        <v>1.3640000000000001</v>
      </c>
    </row>
    <row r="6" spans="1:9" x14ac:dyDescent="0.3">
      <c r="A6" s="18">
        <f t="shared" ref="A6:A13" si="0">+A5+0.1</f>
        <v>1.2000000000000002</v>
      </c>
      <c r="B6" s="1" t="s">
        <v>101</v>
      </c>
      <c r="C6" s="25">
        <f>('Financial Statements'!B36+'Financial Statements'!B38)/'Financial Statements'!B56</f>
        <v>0.33659778415658975</v>
      </c>
      <c r="D6" s="25">
        <f>('Financial Statements'!C36+'Financial Statements'!C38)/'Financial Statements'!C56</f>
        <v>0.48786668898080188</v>
      </c>
      <c r="E6" s="25">
        <f>('Financial Statements'!D36+'Financial Statements'!D38)/'Financial Statements'!D56</f>
        <v>0.51366327614999241</v>
      </c>
    </row>
    <row r="7" spans="1:9" x14ac:dyDescent="0.3">
      <c r="A7" s="18">
        <f t="shared" si="0"/>
        <v>1.3000000000000003</v>
      </c>
      <c r="B7" s="1" t="s">
        <v>102</v>
      </c>
      <c r="C7" s="27">
        <f>'Financial Statements'!B36/'Financial Statements'!B56</f>
        <v>0.15356340351469652</v>
      </c>
      <c r="D7" s="27">
        <f>'Financial Statements'!C36/'Financial Statements'!C56</f>
        <v>0.27844853005634318</v>
      </c>
      <c r="E7" s="27">
        <f>'Financial Statements'!D36/'Financial Statements'!D56</f>
        <v>0.36071049035979963</v>
      </c>
    </row>
    <row r="8" spans="1:9" x14ac:dyDescent="0.3">
      <c r="A8" s="18">
        <f t="shared" si="0"/>
        <v>1.4000000000000004</v>
      </c>
      <c r="B8" s="32" t="s">
        <v>103</v>
      </c>
      <c r="C8" s="27">
        <f>'Financial Statements'!B42/('Financial Statements'!B17-'Financial Statements'!B79)</f>
        <v>3.3648517680972141</v>
      </c>
      <c r="D8" s="27">
        <f>'Financial Statements'!C42/('Financial Statements'!C17-'Financial Statements'!C79)</f>
        <v>4.1356930343833387</v>
      </c>
      <c r="E8" s="27">
        <f>'Financial Statements'!D42/('Financial Statements'!D17-'Financial Statements'!D79)</f>
        <v>5.2047298276111835</v>
      </c>
    </row>
    <row r="9" spans="1:9" x14ac:dyDescent="0.3">
      <c r="A9" s="18">
        <f t="shared" si="0"/>
        <v>1.5000000000000004</v>
      </c>
      <c r="B9" s="32" t="s">
        <v>104</v>
      </c>
      <c r="C9" s="27">
        <f>'Financial Statements'!B39/'Financial Statements'!E12</f>
        <v>8.0756980666171625</v>
      </c>
      <c r="D9" s="27">
        <f>'Financial Statements'!C39/'Financial Statements'!F12</f>
        <v>11.27659274770989</v>
      </c>
      <c r="E9" s="27">
        <f>'Financial Statements'!D39/'Financial Statements'!G12</f>
        <v>8.7418833562358813</v>
      </c>
    </row>
    <row r="10" spans="1:9" x14ac:dyDescent="0.3">
      <c r="A10" s="18">
        <f t="shared" si="0"/>
        <v>1.6000000000000005</v>
      </c>
      <c r="B10" s="1" t="s">
        <v>105</v>
      </c>
      <c r="C10" s="27">
        <f>'Financial Statements'!B51/'Financial Statements'!B12*365</f>
        <v>104.68527730310539</v>
      </c>
      <c r="D10" s="27">
        <f>'Financial Statements'!C51/'Financial Statements'!C12*365</f>
        <v>93.851071222315596</v>
      </c>
      <c r="E10" s="27">
        <f>'Financial Statements'!D51/'Financial Statements'!D12*365</f>
        <v>91.048189715674198</v>
      </c>
      <c r="F10" s="24"/>
    </row>
    <row r="11" spans="1:9" x14ac:dyDescent="0.3">
      <c r="A11" s="18">
        <f t="shared" si="0"/>
        <v>1.7000000000000006</v>
      </c>
      <c r="B11" s="1" t="s">
        <v>106</v>
      </c>
      <c r="C11" s="27">
        <f>'Financial Statements'!B38/'Financial Statements'!B8*365</f>
        <v>26.087825363656648</v>
      </c>
      <c r="D11" s="27">
        <f>'Financial Statements'!C38/'Financial Statements'!C8*365</f>
        <v>26.219311841713207</v>
      </c>
      <c r="E11" s="27">
        <f>'Financial Statements'!D38/'Financial Statements'!D8*365</f>
        <v>21.433437152796749</v>
      </c>
    </row>
    <row r="12" spans="1:9" x14ac:dyDescent="0.3">
      <c r="A12" s="18">
        <f t="shared" si="0"/>
        <v>1.8000000000000007</v>
      </c>
      <c r="B12" s="1" t="s">
        <v>107</v>
      </c>
      <c r="C12" s="27">
        <f>C9+C11-C10</f>
        <v>-70.521753872831582</v>
      </c>
      <c r="D12" s="27">
        <f>D9+D11-D10</f>
        <v>-56.355166632892498</v>
      </c>
      <c r="E12" s="27">
        <f>E9+E11-E10</f>
        <v>-60.872869206641568</v>
      </c>
    </row>
    <row r="13" spans="1:9" x14ac:dyDescent="0.3">
      <c r="A13" s="18">
        <f t="shared" si="0"/>
        <v>1.9000000000000008</v>
      </c>
      <c r="B13" s="1" t="s">
        <v>108</v>
      </c>
      <c r="C13" s="26">
        <f>C14/'Financial Statements'!B8</f>
        <v>0.12850216063784464</v>
      </c>
      <c r="D13" s="26">
        <f>D14/'Financial Statements'!C8</f>
        <v>0.17246328082073825</v>
      </c>
      <c r="E13" s="26">
        <f>E14/'Financial Statements'!D8</f>
        <v>0.23801613755168205</v>
      </c>
    </row>
    <row r="14" spans="1:9" x14ac:dyDescent="0.3">
      <c r="A14" s="18"/>
      <c r="B14" s="3" t="s">
        <v>109</v>
      </c>
      <c r="C14" s="25">
        <f>'Financial Statements'!B48-'Financial Statements'!B62</f>
        <v>50672</v>
      </c>
      <c r="D14" s="25">
        <f>'Financial Statements'!C48-'Financial Statements'!C62</f>
        <v>63090</v>
      </c>
      <c r="E14" s="25">
        <f>'Financial Statements'!D48-'Financial Statements'!D62</f>
        <v>65339</v>
      </c>
    </row>
    <row r="15" spans="1:9" x14ac:dyDescent="0.3">
      <c r="A15" s="18"/>
    </row>
    <row r="16" spans="1:9" x14ac:dyDescent="0.3">
      <c r="A16" s="18">
        <f>+A4+1</f>
        <v>2</v>
      </c>
      <c r="B16" s="17" t="s">
        <v>110</v>
      </c>
    </row>
    <row r="17" spans="1:6" x14ac:dyDescent="0.3">
      <c r="A17" s="18">
        <f>+A16+0.1</f>
        <v>2.1</v>
      </c>
      <c r="B17" s="1" t="s">
        <v>9</v>
      </c>
      <c r="C17" s="27">
        <v>170782</v>
      </c>
      <c r="D17" s="27">
        <v>152836</v>
      </c>
      <c r="E17" s="27">
        <v>104956</v>
      </c>
    </row>
    <row r="18" spans="1:6" x14ac:dyDescent="0.3">
      <c r="A18" s="18">
        <f>+A17+0.1</f>
        <v>2.2000000000000002</v>
      </c>
      <c r="B18" s="1" t="s">
        <v>111</v>
      </c>
      <c r="C18" s="27">
        <f>C19/'Financial Statements'!B8</f>
        <v>0.3310467428130896</v>
      </c>
      <c r="D18" s="27">
        <f>D19/'Financial Statements'!C8</f>
        <v>0.32866979938056462</v>
      </c>
      <c r="E18" s="27">
        <f>E19/'Financial Statements'!D8</f>
        <v>0.2817478097736007</v>
      </c>
    </row>
    <row r="19" spans="1:6" x14ac:dyDescent="0.3">
      <c r="A19" s="18"/>
      <c r="B19" s="3" t="s">
        <v>112</v>
      </c>
      <c r="C19" s="25">
        <f>'Financial Statements'!B18+'Financial Statements'!B79</f>
        <v>130541</v>
      </c>
      <c r="D19" s="25">
        <f>'Financial Statements'!C18+'Financial Statements'!C79</f>
        <v>120233</v>
      </c>
      <c r="E19" s="25">
        <f>'Financial Statements'!D18+'Financial Statements'!D79</f>
        <v>77344</v>
      </c>
    </row>
    <row r="20" spans="1:6" x14ac:dyDescent="0.3">
      <c r="A20" s="18">
        <f>+A18+0.1</f>
        <v>2.3000000000000003</v>
      </c>
      <c r="B20" s="1" t="s">
        <v>113</v>
      </c>
      <c r="C20" s="27">
        <f>C21/'Financial Statements'!B8</f>
        <v>0.35978931245054879</v>
      </c>
      <c r="D20" s="27">
        <f>D21/'Financial Statements'!C8</f>
        <v>0.37456159773876008</v>
      </c>
      <c r="E20" s="27">
        <f>E21/'Financial Statements'!D8</f>
        <v>0.28701892428464748</v>
      </c>
    </row>
    <row r="21" spans="1:6" x14ac:dyDescent="0.3">
      <c r="A21" s="18"/>
      <c r="B21" s="3" t="s">
        <v>114</v>
      </c>
      <c r="C21" s="27">
        <f>'Financial Statements'!B18+'Financial Statements'!B113+'Financial Statements'!B114</f>
        <v>141875</v>
      </c>
      <c r="D21" s="27">
        <f>'Financial Statements'!C18+'Financial Statements'!C113+'Financial Statements'!C114</f>
        <v>137021</v>
      </c>
      <c r="E21" s="27">
        <f>'Financial Statements'!D18+'Financial Statements'!D113+'Financial Statements'!D114</f>
        <v>78791</v>
      </c>
    </row>
    <row r="22" spans="1:6" x14ac:dyDescent="0.3">
      <c r="A22" s="18">
        <f>+A20+0.1</f>
        <v>2.4000000000000004</v>
      </c>
      <c r="B22" s="1" t="s">
        <v>115</v>
      </c>
      <c r="C22" s="27">
        <f>'Financial Statements'!B22/'Financial Statements'!B8*100</f>
        <v>25.309640705199733</v>
      </c>
      <c r="D22" s="27">
        <f>'Financial Statements'!C22/'Financial Statements'!C8*100</f>
        <v>25.881793355694239</v>
      </c>
      <c r="E22" s="27">
        <f>'Financial Statements'!D22/'Financial Statements'!D8*100</f>
        <v>20.913611278072235</v>
      </c>
    </row>
    <row r="23" spans="1:6" x14ac:dyDescent="0.3">
      <c r="A23" s="18"/>
    </row>
    <row r="24" spans="1:6" x14ac:dyDescent="0.3">
      <c r="A24" s="18">
        <f>+A16+1</f>
        <v>3</v>
      </c>
      <c r="B24" s="7" t="s">
        <v>116</v>
      </c>
    </row>
    <row r="25" spans="1:6" x14ac:dyDescent="0.3">
      <c r="A25" s="18">
        <f>+A24+0.1</f>
        <v>3.1</v>
      </c>
      <c r="B25" s="1" t="s">
        <v>117</v>
      </c>
      <c r="C25" s="25">
        <f>'Financial Statements'!B55/'Financial Statements'!B68</f>
        <v>0.21960846226712977</v>
      </c>
      <c r="D25" s="25">
        <f>'Financial Statements'!C55/'Financial Statements'!C68</f>
        <v>0.15236963068632112</v>
      </c>
      <c r="E25" s="25">
        <f>'Financial Statements'!D55/'Financial Statements'!D68</f>
        <v>0.13426896646719416</v>
      </c>
    </row>
    <row r="26" spans="1:6" x14ac:dyDescent="0.3">
      <c r="A26" s="18">
        <f t="shared" ref="A26:A30" si="1">+A25+0.1</f>
        <v>3.2</v>
      </c>
      <c r="B26" s="1" t="s">
        <v>118</v>
      </c>
      <c r="C26" s="27">
        <f>'Financial Statements'!B59/'Financial Statements'!B48</f>
        <v>0.28053181386514719</v>
      </c>
      <c r="D26" s="27">
        <f>'Financial Statements'!C62/'Financial Statements'!C48</f>
        <v>0.82025743443057308</v>
      </c>
      <c r="E26" s="27">
        <f>'Financial Statements'!D62/'Financial Statements'!D48</f>
        <v>0.79826668477992391</v>
      </c>
      <c r="F26" s="24" t="s">
        <v>162</v>
      </c>
    </row>
    <row r="27" spans="1:6" x14ac:dyDescent="0.3">
      <c r="A27" s="18">
        <f t="shared" si="1"/>
        <v>3.3000000000000003</v>
      </c>
      <c r="B27" s="1" t="s">
        <v>119</v>
      </c>
      <c r="C27" s="34">
        <f>'Financial Statements'!B55/'Financial Statements'!B69</f>
        <v>3.1545973834531046E-2</v>
      </c>
      <c r="D27" s="34">
        <f>'Financial Statements'!C55/'Financial Statements'!C69</f>
        <v>2.7387308334425445E-2</v>
      </c>
      <c r="E27" s="34">
        <f>'Financial Statements'!D55/'Financial Statements'!D69</f>
        <v>2.7086523736600306E-2</v>
      </c>
      <c r="F27" t="s">
        <v>163</v>
      </c>
    </row>
    <row r="28" spans="1:6" x14ac:dyDescent="0.3">
      <c r="A28" s="18">
        <f t="shared" si="1"/>
        <v>3.4000000000000004</v>
      </c>
      <c r="B28" s="1" t="s">
        <v>120</v>
      </c>
      <c r="C28" s="29">
        <f>C21/'Financial Statements'!B114</f>
        <v>49.520069808027927</v>
      </c>
      <c r="D28" s="29">
        <f>D21/'Financial Statements'!C114</f>
        <v>50.994045403796058</v>
      </c>
      <c r="E28" s="29">
        <f>E21/'Financial Statements'!D114</f>
        <v>26.246169220519654</v>
      </c>
    </row>
    <row r="29" spans="1:6" x14ac:dyDescent="0.3">
      <c r="A29" s="18">
        <f t="shared" si="1"/>
        <v>3.5000000000000004</v>
      </c>
      <c r="B29" s="1" t="s">
        <v>121</v>
      </c>
      <c r="C29" s="29">
        <f>'Financial Statements'!B22/('Financial Statements'!B21+'Financial Statements'!B19)</f>
        <v>5.2622060529368344</v>
      </c>
      <c r="D29" s="29">
        <f>'Financial Statements'!C22/('Financial Statements'!C21+'Financial Statements'!C19)</f>
        <v>6.4037876225904631</v>
      </c>
      <c r="E29" s="29">
        <f>'Financial Statements'!D22/('Financial Statements'!D21+'Financial Statements'!D19)</f>
        <v>5.4765811313555277</v>
      </c>
      <c r="F29" t="s">
        <v>164</v>
      </c>
    </row>
    <row r="30" spans="1:6" x14ac:dyDescent="0.3">
      <c r="A30" s="18">
        <f t="shared" si="1"/>
        <v>3.6000000000000005</v>
      </c>
      <c r="B30" s="1" t="s">
        <v>122</v>
      </c>
      <c r="C30" s="33">
        <f>C31/'Financial Statements'!B28</f>
        <v>3.0756803073707971E-3</v>
      </c>
      <c r="D30" s="33">
        <f>D31/'Financial Statements'!C28</f>
        <v>4.4992211347116458E-3</v>
      </c>
      <c r="E30" s="33">
        <f>E31/'Financial Statements'!D28</f>
        <v>3.9948165854205115E-3</v>
      </c>
    </row>
    <row r="31" spans="1:6" x14ac:dyDescent="0.3">
      <c r="A31" s="18"/>
      <c r="B31" s="3" t="s">
        <v>123</v>
      </c>
      <c r="C31" s="30">
        <f>'Financial Statements'!B22+'Financial Statements'!B79+'Financial Statements'!B42-'Financial Statements'!B56-'Financial Statements'!B45</f>
        <v>50213</v>
      </c>
      <c r="D31" s="30">
        <f>'Financial Statements'!C22+'Financial Statements'!C79+'Financial Statements'!C42-'Financial Statements'!C56-'Financial Statements'!C45</f>
        <v>75879</v>
      </c>
      <c r="E31" s="30">
        <f>'Financial Statements'!D22+'Financial Statements'!D79+'Financial Statements'!D42-'Financial Statements'!D56-'Financial Statements'!D45</f>
        <v>70022</v>
      </c>
    </row>
    <row r="32" spans="1:6" x14ac:dyDescent="0.3">
      <c r="A32" s="18"/>
    </row>
    <row r="33" spans="1:6" x14ac:dyDescent="0.3">
      <c r="A33" s="18">
        <f>+A24+1</f>
        <v>4</v>
      </c>
      <c r="B33" s="17" t="s">
        <v>124</v>
      </c>
    </row>
    <row r="34" spans="1:6" x14ac:dyDescent="0.3">
      <c r="A34" s="18">
        <f>+A33+0.1</f>
        <v>4.0999999999999996</v>
      </c>
      <c r="B34" s="1" t="s">
        <v>125</v>
      </c>
      <c r="C34" s="27">
        <f>'Financial Statements'!B8/'Financial Statements'!B48</f>
        <v>1.1178523337727317</v>
      </c>
      <c r="D34" s="27">
        <f>'Financial Statements'!C8/'Financial Statements'!C48</f>
        <v>1.0422077367080529</v>
      </c>
      <c r="E34" s="27">
        <f>'Financial Statements'!D8/'Financial Statements'!D48</f>
        <v>0.84756150274168851</v>
      </c>
    </row>
    <row r="35" spans="1:6" x14ac:dyDescent="0.3">
      <c r="A35" s="18">
        <f t="shared" ref="A35:A37" si="2">+A34+0.1</f>
        <v>4.1999999999999993</v>
      </c>
      <c r="B35" s="1" t="s">
        <v>126</v>
      </c>
      <c r="C35" s="27">
        <f>'Financial Statements'!B8/'Financial Statements'!B47</f>
        <v>1.8142535081665516</v>
      </c>
      <c r="D35" s="27">
        <f>'Financial Statements'!C8/'Financial Statements'!C47</f>
        <v>1.6922966608994938</v>
      </c>
      <c r="E35" s="27">
        <f>'Financial Statements'!D8/'Financial Statements'!D47</f>
        <v>1.5236020535590398</v>
      </c>
    </row>
    <row r="36" spans="1:6" x14ac:dyDescent="0.3">
      <c r="A36" s="18">
        <f t="shared" si="2"/>
        <v>4.2999999999999989</v>
      </c>
      <c r="B36" s="1" t="s">
        <v>127</v>
      </c>
      <c r="C36" s="27">
        <f>'Financial Statements'!B12/'Financial Statements'!B39</f>
        <v>45.197331176708452</v>
      </c>
      <c r="D36" s="27">
        <f>'Financial Statements'!C12/'Financial Statements'!C39</f>
        <v>32.367933130699086</v>
      </c>
      <c r="E36" s="27">
        <f>'Financial Statements'!D12/'Financial Statements'!D39</f>
        <v>41.753016498399411</v>
      </c>
    </row>
    <row r="37" spans="1:6" x14ac:dyDescent="0.3">
      <c r="A37" s="18">
        <f t="shared" si="2"/>
        <v>4.3999999999999986</v>
      </c>
      <c r="B37" s="1" t="s">
        <v>128</v>
      </c>
      <c r="C37" s="27">
        <f>'Financial Statements'!B22/'Financial Statements'!B48</f>
        <v>0.28292440929256851</v>
      </c>
      <c r="D37" s="27">
        <f>'Financial Statements'!C22/'Financial Statements'!C48</f>
        <v>0.26974205275183616</v>
      </c>
      <c r="E37" s="27">
        <f>'Financial Statements'!D22/'Financial Statements'!D48</f>
        <v>0.1772557180259843</v>
      </c>
    </row>
    <row r="38" spans="1:6" x14ac:dyDescent="0.3">
      <c r="A38" s="18"/>
    </row>
    <row r="39" spans="1:6" x14ac:dyDescent="0.3">
      <c r="A39" s="18">
        <f>+A33+1</f>
        <v>5</v>
      </c>
      <c r="B39" s="17" t="s">
        <v>129</v>
      </c>
    </row>
    <row r="40" spans="1:6" x14ac:dyDescent="0.3">
      <c r="A40" s="18">
        <f>+A39+0.1</f>
        <v>5.0999999999999996</v>
      </c>
      <c r="B40" s="1" t="s">
        <v>130</v>
      </c>
      <c r="C40" s="25">
        <f>'Financial Statements'!B65/'Financial Statements'!B66</f>
        <v>-21.137222946544981</v>
      </c>
      <c r="D40" s="25">
        <f>'Financial Statements'!C65/'Financial Statements'!C66</f>
        <v>10.313736066163251</v>
      </c>
      <c r="E40" s="25">
        <f>'Financial Statements'!D65/'Financial Statements'!D66</f>
        <v>3.3929573700387543</v>
      </c>
    </row>
    <row r="41" spans="1:6" x14ac:dyDescent="0.3">
      <c r="A41" s="18">
        <f t="shared" ref="A41:A44" si="3">+A40+0.1</f>
        <v>5.1999999999999993</v>
      </c>
      <c r="B41" s="3" t="s">
        <v>131</v>
      </c>
      <c r="C41" s="31">
        <f>'Financial Statements'!B22/'Financial Statements'!B25*1000</f>
        <v>16334369.885433715</v>
      </c>
      <c r="D41" s="31">
        <f>'Financial Statements'!C22/'Financial Statements'!C25*1000</f>
        <v>16877005.347593583</v>
      </c>
      <c r="E41" s="31">
        <f>'Financial Statements'!D22/'Financial Statements'!D25*1000</f>
        <v>17503353.658536587</v>
      </c>
    </row>
    <row r="42" spans="1:6" x14ac:dyDescent="0.3">
      <c r="A42" s="18">
        <f t="shared" si="3"/>
        <v>5.2999999999999989</v>
      </c>
      <c r="B42" s="1" t="s">
        <v>132</v>
      </c>
      <c r="C42">
        <f>138.2/C43</f>
        <v>44526.13249526365</v>
      </c>
      <c r="D42" s="24">
        <f>146.92/D43</f>
        <v>39273.95624472975</v>
      </c>
      <c r="E42" s="24">
        <f>112.28/E43</f>
        <v>30120.875249391633</v>
      </c>
    </row>
    <row r="43" spans="1:6" x14ac:dyDescent="0.3">
      <c r="A43" s="18">
        <f t="shared" si="3"/>
        <v>5.3999999999999986</v>
      </c>
      <c r="B43" s="3" t="s">
        <v>133</v>
      </c>
      <c r="C43">
        <f>('Financial Statements'!B48-'Financial Statements'!B62)/'Financial Statements'!B28</f>
        <v>3.103795282797145E-3</v>
      </c>
      <c r="D43" s="24">
        <f>('Financial Statements'!C48-'Financial Statements'!C62)/'Financial Statements'!C28</f>
        <v>3.7409014534845971E-3</v>
      </c>
      <c r="E43" s="24">
        <f>('Financial Statements'!D48-'Financial Statements'!D62)/'Financial Statements'!D28</f>
        <v>3.7276473233382478E-3</v>
      </c>
      <c r="F43" s="24" t="s">
        <v>165</v>
      </c>
    </row>
    <row r="44" spans="1:6" x14ac:dyDescent="0.3">
      <c r="A44" s="18">
        <f t="shared" si="3"/>
        <v>5.4999999999999982</v>
      </c>
      <c r="B44" s="1" t="s">
        <v>134</v>
      </c>
      <c r="C44">
        <f>C45/C41</f>
        <v>5.5652643995115302E-11</v>
      </c>
      <c r="D44" s="24">
        <f t="shared" ref="D44:E44" si="4">D45/D41</f>
        <v>5.0827509919812146E-11</v>
      </c>
      <c r="E44" s="24">
        <f t="shared" si="4"/>
        <v>4.589597113886717E-11</v>
      </c>
    </row>
    <row r="45" spans="1:6" x14ac:dyDescent="0.3">
      <c r="A45" s="18"/>
      <c r="B45" s="3" t="s">
        <v>135</v>
      </c>
      <c r="C45" s="33">
        <f>-'Financial Statements'!B102/'Financial Statements'!B28</f>
        <v>9.0905087211857485E-4</v>
      </c>
      <c r="D45" s="33">
        <f>-'Financial Statements'!C102/'Financial Statements'!C28</f>
        <v>8.5781615672153545E-4</v>
      </c>
      <c r="E45" s="33">
        <f>-'Financial Statements'!D102/'Financial Statements'!D28</f>
        <v>8.0333341434558024E-4</v>
      </c>
      <c r="F45" s="24" t="s">
        <v>165</v>
      </c>
    </row>
    <row r="46" spans="1:6" x14ac:dyDescent="0.3">
      <c r="A46" s="18">
        <f>+A44+0.1</f>
        <v>5.5999999999999979</v>
      </c>
      <c r="B46" s="1" t="s">
        <v>136</v>
      </c>
      <c r="C46">
        <f>C45/138.2</f>
        <v>6.5777921282096595E-6</v>
      </c>
      <c r="D46">
        <f>D45/146.92</f>
        <v>5.8386615622211787E-6</v>
      </c>
      <c r="E46">
        <f>E45/112.28</f>
        <v>7.1547329385961902E-6</v>
      </c>
    </row>
    <row r="47" spans="1:6" x14ac:dyDescent="0.3">
      <c r="A47" s="18">
        <f t="shared" ref="A47:A50" si="5">+A45+0.1</f>
        <v>0.1</v>
      </c>
      <c r="B47" s="1" t="s">
        <v>137</v>
      </c>
      <c r="C47">
        <f>'Financial Statements'!B22/'Financial Statements'!B68</f>
        <v>1.9695887275023682</v>
      </c>
      <c r="D47" s="24">
        <f>'Financial Statements'!C22/'Financial Statements'!C68</f>
        <v>1.5007132667617689</v>
      </c>
      <c r="E47" s="24">
        <f>'Financial Statements'!D22/'Financial Statements'!D68</f>
        <v>0.87866358530127486</v>
      </c>
    </row>
    <row r="48" spans="1:6" x14ac:dyDescent="0.3">
      <c r="A48" s="18">
        <f t="shared" si="5"/>
        <v>5.6999999999999975</v>
      </c>
      <c r="B48" s="1" t="s">
        <v>138</v>
      </c>
      <c r="C48" s="25">
        <f>C21/('Financial Statements'!B68+'Financial Statements'!B55)</f>
        <v>2.2957119741100325</v>
      </c>
      <c r="D48" s="25">
        <f>D21/('Financial Statements'!C68+'Financial Statements'!C55)</f>
        <v>1.8846677578641873</v>
      </c>
      <c r="E48" s="25">
        <f>E21/('Financial Statements'!D68+'Financial Statements'!D55)</f>
        <v>1.0631341753022452</v>
      </c>
    </row>
    <row r="49" spans="1:6" x14ac:dyDescent="0.3">
      <c r="A49" s="18">
        <f t="shared" si="5"/>
        <v>0.2</v>
      </c>
      <c r="B49" s="1" t="s">
        <v>128</v>
      </c>
      <c r="C49">
        <f>'Financial Statements'!B22/'Financial Statements'!B48</f>
        <v>0.28292440929256851</v>
      </c>
      <c r="D49" s="24">
        <f>'Financial Statements'!C22/'Financial Statements'!C48</f>
        <v>0.26974205275183616</v>
      </c>
      <c r="E49" s="24">
        <f>'Financial Statements'!D22/'Financial Statements'!D48</f>
        <v>0.1772557180259843</v>
      </c>
    </row>
    <row r="50" spans="1:6" x14ac:dyDescent="0.3">
      <c r="A50" s="18">
        <f t="shared" si="5"/>
        <v>5.7999999999999972</v>
      </c>
      <c r="B50" s="1" t="s">
        <v>139</v>
      </c>
      <c r="C50" s="25">
        <f>C51/C19</f>
        <v>17282.824268237564</v>
      </c>
      <c r="D50" s="25">
        <f t="shared" ref="D50:E50" si="6">D51/D19</f>
        <v>19384.340246022304</v>
      </c>
      <c r="E50" s="25">
        <f t="shared" si="6"/>
        <v>31318.87766083988</v>
      </c>
    </row>
    <row r="51" spans="1:6" x14ac:dyDescent="0.3">
      <c r="A51" s="18"/>
      <c r="B51" s="3" t="s">
        <v>140</v>
      </c>
      <c r="C51" s="25">
        <f>138.2*'Financial Statements'!B28+'Financial Statements'!B55-'Financial Statements'!B91</f>
        <v>2256117162.7999997</v>
      </c>
      <c r="D51" s="25">
        <f>138.2*'Financial Statements'!C28+'Financial Statements'!C55-'Financial Statements'!C91</f>
        <v>2330637380.7999997</v>
      </c>
      <c r="E51" s="38">
        <f>138.2*'Financial Statements'!D28+'Financial Statements'!D55-'Financial Statements'!D91</f>
        <v>2422327273.7999997</v>
      </c>
      <c r="F51" s="24" t="s">
        <v>165</v>
      </c>
    </row>
    <row r="53" spans="1:6" x14ac:dyDescent="0.3">
      <c r="B53" s="1" t="s">
        <v>151</v>
      </c>
      <c r="C53" s="26">
        <f>('Financial Statements'!B8-'Financial Statements'!C8)/'Financial Statements'!C8</f>
        <v>7.7937876041846058E-2</v>
      </c>
      <c r="D53" s="26">
        <f>('Financial Statements'!C8-'Financial Statements'!D8)/'Financial Statements'!D8</f>
        <v>0.33259384733074693</v>
      </c>
      <c r="E53" s="25"/>
    </row>
    <row r="54" spans="1:6" x14ac:dyDescent="0.3">
      <c r="B54" s="1" t="s">
        <v>152</v>
      </c>
      <c r="C54" s="26">
        <f>('Financial Statements'!B13-'Financial Statements'!C13)/'Financial Statements'!C13</f>
        <v>0.11741997958596143</v>
      </c>
      <c r="D54" s="26">
        <f>('Financial Statements'!C13-'Financial Statements'!D13)/'Financial Statements'!D13</f>
        <v>0.45619116582186819</v>
      </c>
    </row>
    <row r="55" spans="1:6" x14ac:dyDescent="0.3">
      <c r="B55" s="1" t="s">
        <v>153</v>
      </c>
      <c r="C55" s="26">
        <f>('Financial Statements'!B17-'Financial Statements'!C17)/'Financial Statements'!C17</f>
        <v>0.16993642764372138</v>
      </c>
      <c r="D55" s="26">
        <f>('Financial Statements'!C17-'Financial Statements'!D17)/'Financial Statements'!D17</f>
        <v>0.13496948381090307</v>
      </c>
    </row>
    <row r="56" spans="1:6" x14ac:dyDescent="0.3">
      <c r="B56" s="1" t="s">
        <v>154</v>
      </c>
      <c r="C56" s="26">
        <f>('Financial Statements'!B18-'Financial Statements'!C18)/'Financial Statements'!C18</f>
        <v>9.6265225013538444E-2</v>
      </c>
      <c r="D56" s="26">
        <f>('Financial Statements'!C18-'Financial Statements'!D18)/'Financial Statements'!D18</f>
        <v>0.64357048032826458</v>
      </c>
    </row>
    <row r="57" spans="1:6" x14ac:dyDescent="0.3">
      <c r="B57" s="1" t="s">
        <v>155</v>
      </c>
      <c r="C57" s="26">
        <f>('Financial Statements'!B22-'Financial Statements'!C22)/'Financial Statements'!C22</f>
        <v>5.4108576256865229E-2</v>
      </c>
      <c r="D57" s="26">
        <f>('Financial Statements'!C22-'Financial Statements'!D22)/'Financial Statements'!D22</f>
        <v>0.64916131055024295</v>
      </c>
    </row>
    <row r="59" spans="1:6" x14ac:dyDescent="0.3">
      <c r="B59" s="1" t="s">
        <v>156</v>
      </c>
      <c r="C59" s="26">
        <f>'Financial Statements'!B10/'Financial Statements'!B8</f>
        <v>0.5109223793390274</v>
      </c>
      <c r="D59" s="26">
        <f>'Financial Statements'!C10/'Financial Statements'!C8</f>
        <v>0.5255797297555882</v>
      </c>
      <c r="E59" s="26">
        <f>'Financial Statements'!D10/'Financial Statements'!D8</f>
        <v>0.55110285412454696</v>
      </c>
    </row>
    <row r="60" spans="1:6" x14ac:dyDescent="0.3">
      <c r="B60" s="1" t="s">
        <v>157</v>
      </c>
      <c r="C60" s="26">
        <f>'Financial Statements'!B13/'Financial Statements'!B8</f>
        <v>0.43309630561360085</v>
      </c>
      <c r="D60" s="26">
        <f>'Financial Statements'!C13/'Financial Statements'!C8</f>
        <v>0.41779359625167778</v>
      </c>
      <c r="E60" s="26">
        <f>'Financial Statements'!D13/'Financial Statements'!D8</f>
        <v>0.38233247727810865</v>
      </c>
    </row>
    <row r="61" spans="1:6" x14ac:dyDescent="0.3">
      <c r="B61" s="1" t="s">
        <v>158</v>
      </c>
      <c r="C61" s="26">
        <f>'Financial Statements'!B15/'Financial Statements'!B8</f>
        <v>6.657148363798665E-2</v>
      </c>
      <c r="D61" s="26">
        <f>'Financial Statements'!C15/'Financial Statements'!C8</f>
        <v>5.9904269074427925E-2</v>
      </c>
      <c r="E61" s="26">
        <f>'Financial Statements'!D15/'Financial Statements'!D8</f>
        <v>6.8309564140393061E-2</v>
      </c>
    </row>
    <row r="62" spans="1:6" x14ac:dyDescent="0.3">
      <c r="B62" s="1" t="s">
        <v>159</v>
      </c>
      <c r="C62" s="26">
        <f>'Financial Statements'!B16/'Financial Statements'!B8</f>
        <v>6.3637378020328261E-2</v>
      </c>
      <c r="D62" s="26">
        <f>'Financial Statements'!C16/'Financial Statements'!C8</f>
        <v>6.006555190163388E-2</v>
      </c>
      <c r="E62" s="26">
        <f>'Financial Statements'!D16/'Financial Statements'!D8</f>
        <v>7.2549769593646979E-2</v>
      </c>
    </row>
    <row r="63" spans="1:6" x14ac:dyDescent="0.3">
      <c r="B63" s="1" t="s">
        <v>160</v>
      </c>
      <c r="C63" s="26">
        <f>'Financial Statements'!B18/'Financial Statements'!B8</f>
        <v>0.30288744395528594</v>
      </c>
      <c r="D63" s="26">
        <f>'Financial Statements'!C18/'Financial Statements'!C8</f>
        <v>0.29782377527561593</v>
      </c>
      <c r="E63" s="26">
        <f>'Financial Statements'!D18/'Financial Statements'!D8</f>
        <v>0.24147314354406862</v>
      </c>
    </row>
    <row r="64" spans="1:6" x14ac:dyDescent="0.3">
      <c r="B64" s="1" t="s">
        <v>161</v>
      </c>
      <c r="C64" s="26">
        <f>'Financial Statements'!B22/'Financial Statements'!B8</f>
        <v>0.25309640705199732</v>
      </c>
      <c r="D64" s="26">
        <f>'Financial Statements'!C22/'Financial Statements'!C8</f>
        <v>0.25881793355694238</v>
      </c>
      <c r="E64" s="26">
        <f>'Financial Statements'!D22/'Financial Statements'!D8</f>
        <v>0.20913611278072236</v>
      </c>
    </row>
    <row r="66" spans="2:5" x14ac:dyDescent="0.3">
      <c r="B66" s="1" t="s">
        <v>94</v>
      </c>
      <c r="C66" s="35">
        <f>'Financial Statements'!B113/'Financial Statements'!B20</f>
        <v>0.1643367505436471</v>
      </c>
      <c r="D66" s="35">
        <f>'Financial Statements'!C113/'Financial Statements'!C20</f>
        <v>0.23244846942045841</v>
      </c>
      <c r="E66" s="35">
        <f>'Financial Statements'!D113/'Financial Statements'!D20</f>
        <v>0.14161362924982487</v>
      </c>
    </row>
    <row r="67" spans="2:5" x14ac:dyDescent="0.3">
      <c r="B67" s="1" t="s">
        <v>95</v>
      </c>
      <c r="C67" s="26">
        <f>-'Financial Statements'!B96/'Financial Statements'!B8</f>
        <v>2.7155058732831552E-2</v>
      </c>
      <c r="D67" s="26">
        <f>-'Financial Statements'!C96/'Financial Statements'!C8</f>
        <v>3.0302036264033657E-2</v>
      </c>
      <c r="E67" s="26">
        <f>-'Financial Statements'!D96/'Financial Statements'!D8</f>
        <v>2.6625138881299748E-2</v>
      </c>
    </row>
    <row r="68" spans="2:5" x14ac:dyDescent="0.3">
      <c r="B68" s="1" t="s">
        <v>96</v>
      </c>
      <c r="C68" s="26">
        <f>-'Financial Statements'!B96/'Financial Statements'!B45</f>
        <v>0.25424412944891611</v>
      </c>
      <c r="D68" s="26">
        <f>-'Financial Statements'!C96/'Financial Statements'!C45</f>
        <v>0.28105983772819471</v>
      </c>
      <c r="E68" s="26">
        <f>-'Financial Statements'!D96/'Financial Statements'!D45</f>
        <v>0.19879780231735844</v>
      </c>
    </row>
  </sheetData>
  <mergeCells count="1">
    <mergeCell ref="C2:E2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2020-05-18T16:32:37Z</dcterms:created>
  <dcterms:modified xsi:type="dcterms:W3CDTF">2023-08-28T15:04:50Z</dcterms:modified>
</cp:coreProperties>
</file>