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51BFA44B-9DEE-4A7C-9091-DB6DC48268D8}" xr6:coauthVersionLast="47" xr6:coauthVersionMax="47" xr10:uidLastSave="{00000000-0000-0000-0000-000000000000}"/>
  <bookViews>
    <workbookView xWindow="-120" yWindow="-120" windowWidth="20730" windowHeight="11160" tabRatio="513"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3" i="3" l="1"/>
  <c r="M93" i="3"/>
  <c r="M119" i="3"/>
  <c r="N119" i="3"/>
  <c r="L119" i="3"/>
  <c r="M115" i="3"/>
  <c r="N115" i="3"/>
  <c r="L115" i="3"/>
  <c r="M89" i="3"/>
  <c r="N89" i="3" s="1"/>
  <c r="M85" i="3"/>
  <c r="N85" i="3" s="1"/>
  <c r="M29" i="3"/>
  <c r="N29" i="3" s="1"/>
  <c r="M25" i="3"/>
  <c r="K55" i="3"/>
  <c r="J55" i="3"/>
  <c r="J59" i="3"/>
  <c r="K192" i="3"/>
  <c r="L192" i="3"/>
  <c r="M192" i="3"/>
  <c r="N192" i="3"/>
  <c r="J206" i="3"/>
  <c r="J209" i="3"/>
  <c r="J208" i="3" s="1"/>
  <c r="K209" i="3"/>
  <c r="L209" i="3"/>
  <c r="M209" i="3"/>
  <c r="N209" i="3"/>
  <c r="J205" i="3"/>
  <c r="J203" i="3"/>
  <c r="J199" i="3"/>
  <c r="J200" i="3"/>
  <c r="I196" i="3"/>
  <c r="K200" i="3"/>
  <c r="K199" i="3" s="1"/>
  <c r="L200" i="3"/>
  <c r="M200" i="3"/>
  <c r="N200" i="3"/>
  <c r="C143" i="3"/>
  <c r="D143" i="3"/>
  <c r="E143" i="3"/>
  <c r="F143" i="3"/>
  <c r="G143" i="3"/>
  <c r="H143" i="3"/>
  <c r="I143" i="3"/>
  <c r="J19" i="4"/>
  <c r="K19" i="4"/>
  <c r="L19" i="4"/>
  <c r="M19" i="4"/>
  <c r="N19" i="4"/>
  <c r="J18" i="4"/>
  <c r="K18" i="4"/>
  <c r="L18" i="4"/>
  <c r="M18" i="4"/>
  <c r="N18" i="4"/>
  <c r="K17" i="4"/>
  <c r="L17" i="4"/>
  <c r="M17" i="4"/>
  <c r="N17" i="4"/>
  <c r="J17" i="4"/>
  <c r="K16" i="4"/>
  <c r="L16" i="4"/>
  <c r="M16" i="4"/>
  <c r="N16" i="4"/>
  <c r="J16" i="4"/>
  <c r="K15" i="4"/>
  <c r="L15" i="4"/>
  <c r="M15" i="4"/>
  <c r="N15" i="4"/>
  <c r="J15" i="4"/>
  <c r="L10" i="4"/>
  <c r="M10" i="4"/>
  <c r="N10" i="4"/>
  <c r="K10" i="4"/>
  <c r="J10" i="4"/>
  <c r="I12" i="4"/>
  <c r="I15" i="4"/>
  <c r="I16" i="4"/>
  <c r="I17" i="4"/>
  <c r="I18" i="4"/>
  <c r="I19" i="4"/>
  <c r="K1" i="4"/>
  <c r="L1" i="4"/>
  <c r="M1" i="4"/>
  <c r="N1" i="4"/>
  <c r="J1" i="4"/>
  <c r="N25" i="3" l="1"/>
  <c r="K59" i="3"/>
  <c r="L199" i="3"/>
  <c r="M199" i="3" s="1"/>
  <c r="N199" i="3" s="1"/>
  <c r="K208" i="3"/>
  <c r="K206" i="3"/>
  <c r="K205" i="3" s="1"/>
  <c r="L206" i="3"/>
  <c r="M206" i="3"/>
  <c r="N206" i="3"/>
  <c r="K203" i="3"/>
  <c r="L203" i="3"/>
  <c r="M203" i="3"/>
  <c r="N203" i="3"/>
  <c r="C62" i="4"/>
  <c r="D62" i="4"/>
  <c r="E62" i="4"/>
  <c r="F62" i="4"/>
  <c r="G62" i="4"/>
  <c r="H62" i="4"/>
  <c r="I62" i="4"/>
  <c r="B62" i="4"/>
  <c r="C59" i="4"/>
  <c r="D59" i="4"/>
  <c r="E59" i="4"/>
  <c r="F59" i="4"/>
  <c r="G59" i="4"/>
  <c r="H59" i="4"/>
  <c r="I59" i="4"/>
  <c r="B59" i="4"/>
  <c r="C57" i="4"/>
  <c r="D57" i="4"/>
  <c r="E57" i="4"/>
  <c r="F57" i="4"/>
  <c r="G57" i="4"/>
  <c r="H57" i="4"/>
  <c r="I57" i="4"/>
  <c r="B57" i="4"/>
  <c r="B77" i="4"/>
  <c r="L208" i="3" l="1"/>
  <c r="L205" i="3"/>
  <c r="M205" i="3" s="1"/>
  <c r="N205" i="3" s="1"/>
  <c r="C25" i="4"/>
  <c r="D25" i="4"/>
  <c r="E25" i="4"/>
  <c r="F25" i="4"/>
  <c r="G25" i="4"/>
  <c r="H25" i="4"/>
  <c r="I25" i="4"/>
  <c r="C23" i="4"/>
  <c r="D23" i="4"/>
  <c r="E23" i="4"/>
  <c r="F23" i="4"/>
  <c r="G23" i="4"/>
  <c r="H23" i="4"/>
  <c r="I23" i="4"/>
  <c r="B23" i="4"/>
  <c r="B51" i="4" s="1"/>
  <c r="C22" i="4"/>
  <c r="D22" i="4"/>
  <c r="E22" i="4"/>
  <c r="F22" i="4"/>
  <c r="G22" i="4"/>
  <c r="H22" i="4"/>
  <c r="I22" i="4"/>
  <c r="B22" i="4"/>
  <c r="C35" i="4"/>
  <c r="D35" i="4"/>
  <c r="E35" i="4"/>
  <c r="F35" i="4"/>
  <c r="G35" i="4"/>
  <c r="H35" i="4"/>
  <c r="I35" i="4"/>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C41" i="4"/>
  <c r="D41" i="4"/>
  <c r="E41" i="4"/>
  <c r="F41" i="4"/>
  <c r="G41" i="4"/>
  <c r="H41" i="4"/>
  <c r="I41" i="4"/>
  <c r="C40" i="4"/>
  <c r="D40" i="4"/>
  <c r="E40" i="4"/>
  <c r="F40" i="4"/>
  <c r="G40" i="4"/>
  <c r="H40" i="4"/>
  <c r="I40" i="4"/>
  <c r="B42" i="4"/>
  <c r="B41" i="4"/>
  <c r="B40" i="4"/>
  <c r="C36" i="4"/>
  <c r="D36" i="4"/>
  <c r="E36" i="4"/>
  <c r="F36" i="4"/>
  <c r="G36" i="4"/>
  <c r="H36" i="4"/>
  <c r="I36" i="4"/>
  <c r="C37" i="4"/>
  <c r="D37" i="4"/>
  <c r="E37" i="4"/>
  <c r="F37" i="4"/>
  <c r="G37" i="4"/>
  <c r="H37" i="4"/>
  <c r="I37" i="4"/>
  <c r="C38" i="4"/>
  <c r="D38" i="4"/>
  <c r="E38" i="4"/>
  <c r="F38" i="4"/>
  <c r="G38" i="4"/>
  <c r="H38" i="4"/>
  <c r="I38" i="4"/>
  <c r="B38" i="4"/>
  <c r="B36" i="4"/>
  <c r="B37" i="4"/>
  <c r="C34" i="4"/>
  <c r="D34" i="4"/>
  <c r="E34" i="4"/>
  <c r="F34" i="4"/>
  <c r="G34" i="4"/>
  <c r="H34" i="4"/>
  <c r="I34" i="4"/>
  <c r="C33" i="4"/>
  <c r="D33" i="4"/>
  <c r="E33" i="4"/>
  <c r="F33" i="4"/>
  <c r="G33" i="4"/>
  <c r="H33" i="4"/>
  <c r="I33" i="4"/>
  <c r="B34" i="4"/>
  <c r="B33" i="4"/>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M208" i="3" l="1"/>
  <c r="E32" i="4"/>
  <c r="C32" i="4"/>
  <c r="I51" i="4"/>
  <c r="G32" i="4"/>
  <c r="H51" i="4"/>
  <c r="F51" i="4"/>
  <c r="D51" i="4"/>
  <c r="D32" i="4"/>
  <c r="C51" i="4"/>
  <c r="I32" i="4"/>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B21" i="4"/>
  <c r="C16" i="4"/>
  <c r="D16" i="4"/>
  <c r="E16" i="4"/>
  <c r="F16" i="4"/>
  <c r="G16" i="4"/>
  <c r="H16" i="4"/>
  <c r="B16" i="4"/>
  <c r="N208" i="3" l="1"/>
  <c r="B31" i="4"/>
  <c r="B44" i="4" s="1"/>
  <c r="I31" i="4"/>
  <c r="I44" i="4" s="1"/>
  <c r="H31" i="4"/>
  <c r="H44" i="4" s="1"/>
  <c r="G31" i="4"/>
  <c r="G44" i="4" s="1"/>
  <c r="F31" i="4"/>
  <c r="F44" i="4" s="1"/>
  <c r="E31" i="4"/>
  <c r="E44" i="4" s="1"/>
  <c r="D31" i="4"/>
  <c r="D44" i="4" s="1"/>
  <c r="C31" i="4"/>
  <c r="C44" i="4" s="1"/>
  <c r="C15" i="4"/>
  <c r="C17" i="4" s="1"/>
  <c r="C19" i="4" s="1"/>
  <c r="D15" i="4"/>
  <c r="D17" i="4" s="1"/>
  <c r="D19" i="4" s="1"/>
  <c r="E15" i="4"/>
  <c r="E17" i="4" s="1"/>
  <c r="E19" i="4" s="1"/>
  <c r="F15" i="4"/>
  <c r="F17" i="4" s="1"/>
  <c r="F19" i="4" s="1"/>
  <c r="G15" i="4"/>
  <c r="G17" i="4" s="1"/>
  <c r="G19" i="4" s="1"/>
  <c r="H15" i="4"/>
  <c r="H17" i="4" s="1"/>
  <c r="H19" i="4" s="1"/>
  <c r="B15" i="4"/>
  <c r="B17" i="4" s="1"/>
  <c r="B19" i="4" s="1"/>
  <c r="C12" i="4"/>
  <c r="D12" i="4"/>
  <c r="E12" i="4"/>
  <c r="F12" i="4"/>
  <c r="G12" i="4"/>
  <c r="H12" i="4"/>
  <c r="B12" i="4"/>
  <c r="C10" i="4"/>
  <c r="D10" i="4"/>
  <c r="E10" i="4"/>
  <c r="F10" i="4"/>
  <c r="G10" i="4"/>
  <c r="H10" i="4"/>
  <c r="I10" i="4"/>
  <c r="B10" i="4"/>
  <c r="H18" i="4" l="1"/>
  <c r="F18" i="4"/>
  <c r="G18" i="4"/>
  <c r="E18" i="4"/>
  <c r="C18" i="4"/>
  <c r="B18" i="4"/>
  <c r="D18" i="4"/>
  <c r="H1" i="4"/>
  <c r="G1" i="4" s="1"/>
  <c r="F1" i="4" s="1"/>
  <c r="E1" i="4" s="1"/>
  <c r="D1" i="4" s="1"/>
  <c r="C1" i="4" s="1"/>
  <c r="B1" i="4" s="1"/>
  <c r="B159" i="3" l="1"/>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B116" i="3" l="1"/>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L46" i="3" l="1"/>
  <c r="M96" i="3"/>
  <c r="M101" i="3"/>
  <c r="M102" i="3" s="1"/>
  <c r="N186" i="3"/>
  <c r="M174" i="3"/>
  <c r="M179" i="3"/>
  <c r="M180" i="3" s="1"/>
  <c r="N99" i="3"/>
  <c r="N105" i="3"/>
  <c r="N108" i="3"/>
  <c r="N155" i="3"/>
  <c r="N156" i="3" s="1"/>
  <c r="N152" i="3"/>
  <c r="N153" i="3" s="1"/>
  <c r="N146" i="3"/>
  <c r="N147" i="3" s="1"/>
  <c r="B54" i="4"/>
  <c r="B55" i="4" s="1"/>
  <c r="B53" i="4"/>
  <c r="I13" i="4"/>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197" i="3" l="1"/>
  <c r="J196" i="3" s="1"/>
  <c r="J202" i="3" s="1"/>
  <c r="K197" i="3"/>
  <c r="L197" i="3"/>
  <c r="M197" i="3"/>
  <c r="N197" i="3"/>
  <c r="M46" i="3"/>
  <c r="N102" i="3"/>
  <c r="J13" i="4"/>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96" i="3" l="1"/>
  <c r="N46" i="3"/>
  <c r="K13" i="4"/>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L196" i="3" l="1"/>
  <c r="K202" i="3"/>
  <c r="L13" i="4"/>
  <c r="G96" i="1"/>
  <c r="G98" i="1" s="1"/>
  <c r="G99" i="1" s="1"/>
  <c r="B4" i="3"/>
  <c r="B4" i="4" s="1"/>
  <c r="M196" i="3" l="1"/>
  <c r="L202" i="3"/>
  <c r="M13" i="4"/>
  <c r="N13" i="4" s="1"/>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c r="C67" i="4" s="1"/>
  <c r="B69" i="4"/>
  <c r="C66" i="4"/>
  <c r="C68" i="4" s="1"/>
  <c r="D66" i="4"/>
  <c r="E66" i="4"/>
  <c r="F66" i="4"/>
  <c r="G66" i="4"/>
  <c r="I66" i="4"/>
  <c r="H66" i="4"/>
  <c r="C69" i="4" l="1"/>
  <c r="D67" i="4"/>
  <c r="D68" i="4"/>
  <c r="D69" i="4" s="1"/>
  <c r="E67" i="4" l="1"/>
  <c r="E68" i="4" s="1"/>
  <c r="E69" i="4" s="1"/>
  <c r="F67" i="4"/>
  <c r="F68" i="4" s="1"/>
  <c r="F69" i="4" l="1"/>
  <c r="G67" i="4"/>
  <c r="G68" i="4" s="1"/>
  <c r="G69" i="4" l="1"/>
  <c r="H67" i="4"/>
  <c r="H68" i="4" s="1"/>
  <c r="H69" i="4" l="1"/>
  <c r="I67" i="4"/>
  <c r="I68" i="4" s="1"/>
  <c r="I69" i="4" l="1"/>
  <c r="J67" i="4"/>
  <c r="J37" i="3" l="1"/>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78" i="3"/>
  <c r="K75" i="3"/>
  <c r="K69" i="3"/>
  <c r="J71" i="3"/>
  <c r="J72" i="3" s="1"/>
  <c r="J66" i="3"/>
  <c r="J4" i="3"/>
  <c r="J3" i="4"/>
  <c r="J4" i="4" s="1"/>
  <c r="J75" i="3"/>
  <c r="J78" i="3"/>
  <c r="J69" i="3"/>
  <c r="J65" i="4" l="1"/>
  <c r="J61" i="4"/>
  <c r="J62" i="4"/>
  <c r="J63" i="4"/>
  <c r="J57" i="4"/>
  <c r="J50" i="4"/>
  <c r="J48" i="4"/>
  <c r="J34" i="4"/>
  <c r="J35" i="4"/>
  <c r="J36" i="4"/>
  <c r="J37" i="4"/>
  <c r="J38" i="4"/>
  <c r="J40" i="4"/>
  <c r="J41" i="4"/>
  <c r="J42" i="4"/>
  <c r="J32" i="4"/>
  <c r="J22" i="4"/>
  <c r="J25" i="4"/>
  <c r="J26" i="4"/>
  <c r="J27" i="4"/>
  <c r="J28" i="4"/>
  <c r="J29" i="4"/>
  <c r="J30" i="4"/>
  <c r="J54" i="4"/>
  <c r="J59" i="4"/>
  <c r="J33" i="4"/>
  <c r="J23" i="4"/>
  <c r="J21" i="4"/>
  <c r="K4" i="4"/>
  <c r="K72" i="3"/>
  <c r="M68" i="3"/>
  <c r="M74" i="3"/>
  <c r="M77" i="3"/>
  <c r="M3" i="3"/>
  <c r="M65" i="3"/>
  <c r="M5" i="3" s="1"/>
  <c r="M52" i="3"/>
  <c r="N74" i="3"/>
  <c r="N77" i="3"/>
  <c r="N3" i="3"/>
  <c r="N65" i="3"/>
  <c r="N5" i="3" s="1"/>
  <c r="N68" i="3"/>
  <c r="N52" i="3"/>
  <c r="L71" i="3"/>
  <c r="L72" i="3" s="1"/>
  <c r="L66" i="3"/>
  <c r="L4" i="3"/>
  <c r="L3" i="4"/>
  <c r="L4" i="4" s="1"/>
  <c r="L78" i="3"/>
  <c r="L75" i="3"/>
  <c r="L69" i="3"/>
  <c r="N69" i="3" l="1"/>
  <c r="N71" i="3"/>
  <c r="N66" i="3"/>
  <c r="N4" i="3"/>
  <c r="N3" i="4"/>
  <c r="N78" i="3"/>
  <c r="N75" i="3"/>
  <c r="M71" i="3"/>
  <c r="M72" i="3" s="1"/>
  <c r="M66" i="3"/>
  <c r="M4" i="3"/>
  <c r="M3" i="4"/>
  <c r="M4" i="4" s="1"/>
  <c r="M78" i="3"/>
  <c r="M75" i="3"/>
  <c r="M69" i="3"/>
  <c r="K21" i="4"/>
  <c r="J31" i="4"/>
  <c r="K23" i="4"/>
  <c r="J24" i="4"/>
  <c r="J51" i="4"/>
  <c r="K33" i="4"/>
  <c r="J43" i="4"/>
  <c r="K59" i="4"/>
  <c r="J60" i="4"/>
  <c r="J64" i="4"/>
  <c r="K54" i="4"/>
  <c r="L54" i="4" s="1"/>
  <c r="M54" i="4" s="1"/>
  <c r="K30" i="4"/>
  <c r="L30" i="4" s="1"/>
  <c r="M30" i="4" s="1"/>
  <c r="K29" i="4"/>
  <c r="L29" i="4" s="1"/>
  <c r="M29" i="4" s="1"/>
  <c r="K28" i="4"/>
  <c r="L28" i="4" s="1"/>
  <c r="M28" i="4" s="1"/>
  <c r="K27" i="4"/>
  <c r="L27" i="4" s="1"/>
  <c r="M27" i="4" s="1"/>
  <c r="K26" i="4"/>
  <c r="L26" i="4" s="1"/>
  <c r="M26" i="4" s="1"/>
  <c r="K25" i="4"/>
  <c r="L25" i="4" s="1"/>
  <c r="M25" i="4" s="1"/>
  <c r="K22" i="4"/>
  <c r="L22" i="4" s="1"/>
  <c r="M22" i="4" s="1"/>
  <c r="K32" i="4"/>
  <c r="L32" i="4" s="1"/>
  <c r="M32" i="4" s="1"/>
  <c r="K42" i="4"/>
  <c r="L42" i="4" s="1"/>
  <c r="M42" i="4" s="1"/>
  <c r="K41" i="4"/>
  <c r="L41" i="4" s="1"/>
  <c r="M41" i="4" s="1"/>
  <c r="K40" i="4"/>
  <c r="L40" i="4" s="1"/>
  <c r="M40" i="4" s="1"/>
  <c r="K38" i="4"/>
  <c r="L38" i="4" s="1"/>
  <c r="M38" i="4" s="1"/>
  <c r="K37" i="4"/>
  <c r="L37" i="4" s="1"/>
  <c r="M37" i="4" s="1"/>
  <c r="K36" i="4"/>
  <c r="L36" i="4" s="1"/>
  <c r="M36" i="4" s="1"/>
  <c r="K35" i="4"/>
  <c r="L35" i="4" s="1"/>
  <c r="M35" i="4" s="1"/>
  <c r="K34" i="4"/>
  <c r="L34" i="4" s="1"/>
  <c r="M34" i="4" s="1"/>
  <c r="K48" i="4"/>
  <c r="L48" i="4" s="1"/>
  <c r="M48" i="4" s="1"/>
  <c r="K50" i="4"/>
  <c r="L50" i="4" s="1"/>
  <c r="M50" i="4" s="1"/>
  <c r="K57" i="4"/>
  <c r="K63" i="4"/>
  <c r="L63" i="4" s="1"/>
  <c r="M63" i="4" s="1"/>
  <c r="K62" i="4"/>
  <c r="L62" i="4" s="1"/>
  <c r="M62" i="4" s="1"/>
  <c r="K61" i="4"/>
  <c r="L61" i="4" s="1"/>
  <c r="M61" i="4" s="1"/>
  <c r="K65" i="4"/>
  <c r="L65" i="4" s="1"/>
  <c r="M65" i="4" s="1"/>
  <c r="L57" i="4" l="1"/>
  <c r="M57" i="4" s="1"/>
  <c r="L59" i="4"/>
  <c r="K60" i="4"/>
  <c r="K64" i="4"/>
  <c r="L33" i="4"/>
  <c r="K43" i="4"/>
  <c r="L23" i="4"/>
  <c r="K24" i="4"/>
  <c r="K51" i="4"/>
  <c r="L21" i="4"/>
  <c r="K31" i="4"/>
  <c r="N4" i="4"/>
  <c r="N72" i="3"/>
  <c r="N65" i="4" l="1"/>
  <c r="N61" i="4"/>
  <c r="N62" i="4"/>
  <c r="N63" i="4"/>
  <c r="N50" i="4"/>
  <c r="N48" i="4"/>
  <c r="N34" i="4"/>
  <c r="N35" i="4"/>
  <c r="N36" i="4"/>
  <c r="N37" i="4"/>
  <c r="N38" i="4"/>
  <c r="N40" i="4"/>
  <c r="N41" i="4"/>
  <c r="N42" i="4"/>
  <c r="N32" i="4"/>
  <c r="N22" i="4"/>
  <c r="N25" i="4"/>
  <c r="N26" i="4"/>
  <c r="N27" i="4"/>
  <c r="N28" i="4"/>
  <c r="N29" i="4"/>
  <c r="N30" i="4"/>
  <c r="N54" i="4"/>
  <c r="M21" i="4"/>
  <c r="L31" i="4"/>
  <c r="M23" i="4"/>
  <c r="L24" i="4"/>
  <c r="L51" i="4"/>
  <c r="M33" i="4"/>
  <c r="L43" i="4"/>
  <c r="M59" i="4"/>
  <c r="L60" i="4"/>
  <c r="L64" i="4"/>
  <c r="N57" i="4"/>
  <c r="N59" i="4" l="1"/>
  <c r="M60" i="4"/>
  <c r="M64" i="4"/>
  <c r="N33" i="4"/>
  <c r="N43" i="4" s="1"/>
  <c r="M43" i="4"/>
  <c r="N23" i="4"/>
  <c r="M24" i="4"/>
  <c r="M51" i="4"/>
  <c r="N21" i="4"/>
  <c r="N31" i="4" s="1"/>
  <c r="M31" i="4"/>
  <c r="N24" i="4" l="1"/>
  <c r="N51" i="4"/>
  <c r="N60" i="4"/>
  <c r="N64" i="4"/>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49" i="4" s="1"/>
  <c r="J13" i="3"/>
  <c r="J55" i="4" l="1"/>
  <c r="J12" i="4"/>
  <c r="J14" i="4" s="1"/>
  <c r="K7" i="3"/>
  <c r="K6" i="3"/>
  <c r="L7" i="3"/>
  <c r="L6" i="3"/>
  <c r="M7" i="3"/>
  <c r="M6" i="3"/>
  <c r="N7" i="3"/>
  <c r="N6" i="3"/>
  <c r="K11" i="3"/>
  <c r="K46" i="4"/>
  <c r="K49" i="4"/>
  <c r="K55" i="4" s="1"/>
  <c r="L11" i="3"/>
  <c r="L46" i="4"/>
  <c r="L49" i="4"/>
  <c r="L55" i="4" s="1"/>
  <c r="M11" i="3"/>
  <c r="M46" i="4"/>
  <c r="M49" i="4"/>
  <c r="M55" i="4" s="1"/>
  <c r="N11" i="3"/>
  <c r="N46" i="4"/>
  <c r="N49" i="4"/>
  <c r="N55" i="4"/>
  <c r="N5" i="4"/>
  <c r="N9" i="4" s="1"/>
  <c r="N7" i="4"/>
  <c r="N11" i="4"/>
  <c r="N12" i="4" s="1"/>
  <c r="N14" i="4"/>
  <c r="M5" i="4"/>
  <c r="M9" i="4" s="1"/>
  <c r="M7" i="4"/>
  <c r="M11" i="4"/>
  <c r="M12" i="4" s="1"/>
  <c r="M14" i="4"/>
  <c r="L5" i="4"/>
  <c r="L9" i="4" s="1"/>
  <c r="L7" i="4"/>
  <c r="L11" i="4"/>
  <c r="L12" i="4" s="1"/>
  <c r="L14" i="4"/>
  <c r="K5" i="4"/>
  <c r="K9" i="4" s="1"/>
  <c r="K7" i="4"/>
  <c r="K8" i="4" s="1"/>
  <c r="K11" i="4"/>
  <c r="K12" i="4" s="1"/>
  <c r="K14" i="4"/>
  <c r="K198" i="3" l="1"/>
  <c r="L8" i="4"/>
  <c r="L198" i="3"/>
  <c r="M8" i="4"/>
  <c r="M198" i="3"/>
  <c r="N8" i="4"/>
  <c r="N198" i="3"/>
  <c r="N12" i="3"/>
  <c r="N13" i="3"/>
  <c r="M12" i="3"/>
  <c r="M13" i="3"/>
  <c r="L12" i="3"/>
  <c r="L13" i="3"/>
  <c r="K13" i="3"/>
  <c r="K12" i="3"/>
  <c r="J207" i="3"/>
  <c r="J14" i="3"/>
  <c r="J15" i="3"/>
  <c r="J52" i="4" l="1"/>
  <c r="J16" i="3"/>
  <c r="M14" i="3"/>
  <c r="M207" i="3"/>
  <c r="L14" i="3"/>
  <c r="L207" i="3"/>
  <c r="K14" i="3"/>
  <c r="K207" i="3"/>
  <c r="N14" i="3" l="1"/>
  <c r="N207" i="3"/>
  <c r="K52" i="4"/>
  <c r="K16" i="3"/>
  <c r="K15" i="3"/>
  <c r="L52" i="4"/>
  <c r="L16" i="3"/>
  <c r="L15" i="3"/>
  <c r="M52" i="4"/>
  <c r="M16" i="3"/>
  <c r="M15" i="3"/>
  <c r="N15" i="3"/>
  <c r="J58" i="4"/>
  <c r="J66" i="4" s="1"/>
  <c r="J68" i="4" s="1"/>
  <c r="K67" i="4" s="1"/>
  <c r="J53" i="4"/>
  <c r="N52" i="4" l="1"/>
  <c r="N16" i="3"/>
  <c r="M58" i="4"/>
  <c r="M66" i="4" s="1"/>
  <c r="M53" i="4"/>
  <c r="L58" i="4"/>
  <c r="L66" i="4" s="1"/>
  <c r="L53" i="4"/>
  <c r="K53" i="4"/>
  <c r="K58" i="4"/>
  <c r="K66" i="4" s="1"/>
  <c r="K68" i="4" s="1"/>
  <c r="L67" i="4" s="1"/>
  <c r="N58" i="4" l="1"/>
  <c r="N66" i="4" s="1"/>
  <c r="N53" i="4"/>
  <c r="L68" i="4"/>
  <c r="M67" i="4" s="1"/>
  <c r="M68" i="4"/>
  <c r="N67" i="4" s="1"/>
  <c r="N68" i="4" s="1"/>
  <c r="J17" i="3" l="1"/>
  <c r="J18" i="3"/>
  <c r="J19" i="3"/>
  <c r="N17" i="3"/>
  <c r="N19" i="3"/>
  <c r="M17" i="3"/>
  <c r="M19" i="3"/>
  <c r="L17" i="3"/>
  <c r="L19" i="3"/>
  <c r="K17" i="3"/>
  <c r="K18" i="3" s="1"/>
  <c r="K19" i="3"/>
  <c r="L18" i="3" l="1"/>
  <c r="M18" i="3"/>
  <c r="N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<sst xmlns="http://schemas.openxmlformats.org/spreadsheetml/2006/main" count="586" uniqueCount="251">
  <si>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</si>
  <si>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</si>
  <si>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</si>
  <si>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</si>
  <si>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</si>
  <si>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</si>
  <si>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</si>
  <si>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</si>
  <si>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</si>
  <si>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</si>
  <si>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</si>
  <si>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</si>
  <si>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</si>
  <si>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</si>
  <si>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</si>
  <si>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</si>
  <si>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</si>
  <si>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</si>
  <si>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</si>
  <si>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</si>
  <si>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</si>
  <si>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</si>
  <si>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</si>
  <si>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</si>
  <si>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</si>
  <si>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</si>
  <si>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</si>
  <si>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</si>
  <si>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</si>
  <si>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</si>
  <si>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</si>
  <si>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</si>
  <si>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</si>
  <si>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</si>
  <si>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</si>
  <si>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</si>
  <si>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</si>
  <si>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</si>
  <si>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</si>
  <si>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</si>
  <si>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</si>
  <si>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</si>
  <si>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</si>
  <si>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</si>
  <si>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</si>
  <si>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</si>
  <si>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</si>
  <si>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</si>
  <si>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</si>
  <si>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</si>
  <si>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</si>
  <si>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</si>
  <si>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</si>
  <si>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</si>
  <si>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</si>
  <si>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</si>
  <si>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</si>
  <si>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</si>
  <si>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</si>
  <si>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</si>
  <si>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</si>
  <si>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</si>
  <si>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</si>
  <si>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</si>
  <si>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</si>
  <si>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</si>
  <si>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</si>
  <si>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</si>
  <si>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</si>
  <si>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</si>
  <si>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</si>
  <si>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</si>
  <si>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</si>
  <si>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</si>
  <si>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</si>
  <si>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</si>
  <si>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</si>
  <si>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</si>
  <si>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</si>
  <si>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</si>
  <si>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</si>
  <si>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</si>
  <si>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</si>
  <si>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</si>
  <si>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</si>
  <si>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</si>
  <si>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</si>
  <si>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</si>
  <si>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</si>
  <si>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</si>
  <si>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</si>
  <si>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</si>
  <si>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</si>
  <si>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</si>
  <si>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</si>
  <si>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</si>
  <si>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</si>
  <si>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</si>
  <si>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</si>
  <si>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</si>
  <si>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</si>
  <si>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</si>
  <si>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</si>
  <si>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</si>
  <si>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</si>
  <si>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</si>
  <si>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</si>
  <si>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</si>
  <si>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</si>
  <si>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</si>
  <si>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</si>
  <si>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</si>
  <si>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</si>
  <si>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</si>
  <si>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</si>
  <si>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</si>
  <si>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</si>
  <si>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</si>
  <si>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</si>
  <si>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</si>
  <si>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</si>
  <si>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</si>
  <si>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</si>
  <si>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</si>
  <si>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</si>
  <si>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</si>
  <si>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</si>
  <si>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</si>
  <si>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</si>
  <si>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</si>
  <si>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</si>
  <si>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</si>
  <si>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</si>
  <si>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</si>
  <si>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</si>
  <si>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</si>
  <si>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</si>
  <si>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</si>
  <si>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</si>
  <si>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</si>
  <si>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</si>
  <si>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</si>
  <si>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</si>
  <si>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</si>
  <si>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</si>
  <si>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</si>
  <si>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</si>
  <si>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</si>
  <si>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</si>
  <si>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</si>
  <si>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</si>
  <si>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</si>
  <si>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</si>
  <si>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</si>
  <si>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</si>
  <si>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</si>
  <si>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</si>
  <si>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</si>
  <si>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</si>
  <si>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</si>
  <si>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</si>
  <si>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</si>
  <si>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</si>
  <si>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</si>
  <si>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</si>
  <si>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</si>
  <si>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</si>
  <si>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</si>
  <si>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</si>
  <si>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</si>
  <si>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</si>
  <si>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</si>
  <si>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</si>
  <si>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</si>
  <si>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</si>
  <si>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</si>
  <si>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</si>
  <si>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</si>
  <si>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</si>
  <si>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</si>
  <si>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</si>
  <si>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</si>
  <si>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</si>
  <si>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</si>
  <si>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</si>
  <si>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</si>
  <si>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</si>
  <si>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</si>
  <si>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</si>
  <si>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</si>
  <si>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</si>
  <si>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</si>
  <si>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</si>
  <si>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</si>
  <si>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</si>
  <si>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</si>
  <si>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</si>
  <si>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</si>
  <si>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</si>
  <si>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</si>
  <si>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</si>
  <si>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</si>
  <si>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</si>
  <si>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</si>
  <si>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</si>
  <si>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</si>
  <si>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</si>
  <si>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Add up the segment revenues from below</t>
  </si>
  <si>
    <t>Add up the segment D&amp;A from below</t>
  </si>
  <si>
    <t>EBITDA - D&amp;A</t>
  </si>
  <si>
    <t>Add up the segment Capex from below</t>
  </si>
  <si>
    <t>Add up the segment PPE from below</t>
  </si>
  <si>
    <t>Link from Segmental Forecast sheet</t>
  </si>
  <si>
    <t>Link from Historicals sheet</t>
  </si>
  <si>
    <t>Calculate</t>
  </si>
  <si>
    <t>(Inventories + Receivables - Payables)</t>
  </si>
  <si>
    <t>Link from Segmental forecast sheet</t>
  </si>
  <si>
    <t>Link from Historicals sheet (below the Cash flow statement)</t>
  </si>
  <si>
    <t xml:space="preserve"> Opening (2015) numbers should be sourced from 2014 statements, Other periods should be linked from row22 in this sheet</t>
  </si>
  <si>
    <t>Additions to PPE from cash flow statement - non cash additions (below the Cash flow statement)</t>
  </si>
  <si>
    <t>Short term + Long term debt - (Cash + short term investments) Linked from above</t>
  </si>
  <si>
    <t>Gross margin decreased approximately 390 basis points, reflecting impacts from COVID-19 related government restrictions which reduced physical retail traffic and led to higher inventory obsolescence reserves recognized primarily in the fourth quarter of fiscal 2022.</t>
  </si>
  <si>
    <t>NIKE Direct revenues increased 15%, primarily due to comparable store sales growth of 30% due to improved physical retail traffic, in part resulting from temporary store closures and safety-related measures in response to COVID-19 in the prior year, as well as digital sales growth of 8%</t>
  </si>
  <si>
    <t>Averagely EBIT has always being about 20%. Given no significant changes in terms of pricing and freight and logistics costs, the growth will be in line with histrical trend</t>
  </si>
  <si>
    <t>we expect the Fiscal ‘23 effective tax rate to be in the mid-teens range. We expect SG&amp;A to increase high single-digits to low double-digits</t>
  </si>
  <si>
    <t>We expect gross margin pressure to exceed 100 basis points in the first quarter of Fiscal ’23. We expect gross margins to be in the range of flat to declining by 50 basis points versus the prior year, with a wider-than-usual range reflecting our consideration of a number of scenarios. We expect to benefit from mid-single-digit pricing actions and continued
gains from our shift to a more direct business, offset by another 100 basis points
headwind from elevated ocean freight costs, increased product costs, discrete supply
chain investments, and normalization of historically low markdown rates</t>
  </si>
  <si>
    <t>in Q4 we launched the Nike Spark Flyknit, a new lifestyle shoe that introduces Nike Running’s latest innovation: the Spark cushioning system. This could also increase consumer demand for the brand.</t>
  </si>
  <si>
    <t>Moving forward, NIKE intends to scale the use of performance innovation into lifestyle footwear, with a special focus on the opportunity seen in the Women’s business. Another potential booster for demand for the products</t>
  </si>
  <si>
    <t>Nike Is to  soon introduce a new platform that they believe has the potential to change the apparel industry. This platform could do for apparel
what Flyknit did for footwear according to management projections. Its first products will be unveiled in September 2023. this could also bost the apparel industry growth</t>
  </si>
  <si>
    <t>But consumer behavior and the implications of high inflation on near-term economic growth and consumer demand is also being monitored</t>
  </si>
  <si>
    <t>EMEA will kick off the most unprecedented 12 months of global football in NIKE’s history, starting with Women’s Euro Champs this summer, Men’s World Cup in the fall, and Women’s World Cup next summer. NIKE is meeting the moment with a complete offense, including new kit launches, new training and lifestyle assortments, and new Mercurial, Tiempo, and Phantom footwear innovations across Men’s, Women’s, and Kids. This will increase NIKE performance in EMEA going forward</t>
  </si>
  <si>
    <t>In Fiscal 2023, NIKE will deliver a new suite of commerce and sport activity apps – deepening their connections with Chinese consumers through an enhanced user experience, including locally relevant features across their digital apps, services, and partnered retail stores. This could foster product-at-the-door-step for Greater China consumers, therefore potentially increasing demand and boosting revenue</t>
  </si>
  <si>
    <t xml:space="preserve">NIKe management notes that in 2023, they will begin to see value from their biggest investment in NIKE’s digital transformation - the new ERP. However, they are also taking a cautious approach to Greater China, given uncertainty around additional COVID disruption. </t>
  </si>
  <si>
    <t>NIKE Direct revenues decreased 12% due to digital sales declines of 15% and comparable store sales declines of 14%, in part due to reduced physical retail traffic as a result of government restrictions due to COVID-19 as well as ongoing marketplace dynamics, partially offset by the addition of new stores. However, there is little expectation of governments restriction due to COVID-19. Hence there will be an improvement in growth going forward.</t>
  </si>
  <si>
    <t>In the Q4 of fiscal 2022, NIKE signed separate definitive agreements to sell their legal entities in Argentina and Uruguay as well as legal entity in Chile to third-party distributors. This is going to affect revenue from APLA going forward</t>
  </si>
  <si>
    <t>Gross margin increased approximately 400 basis points primarily due to higher margins and the favorable impact of growth in our NIKE Direct business, higher full-price ASP largely due to lower discounts, favorable changes in standard foreign currency exchange rates, lower other costs as well as a higher mix of full-price sales. The decrease in other costs was primarily due to lower warehousing costs</t>
  </si>
  <si>
    <t>Converse also delivered incredible milestones in Fiscal 2022. According management,Product and storytelling through the lens of youth and creativity are resonating deeply, as Converse scales its digital offense and invests in new product creation. Based on this, Converse is expected to see growth going forward</t>
  </si>
  <si>
    <t>NIKE'S app ecosystem grew into an even greater share of its total Digital demand according management, helping it Digital share of the business reach 24% in Q4. This is a shift being led by the consumer, as they pursue the most personalized shopping experience Nike provides. it is expected that going forward demand will be marginally boosted.</t>
  </si>
  <si>
    <t>Management are optimistic as it enters Fiscal 2023, with our source base fully operational, production surpassing pre-pandemic levels, and inventory flowing again into our largest geographies, gorwth will be boosted.</t>
  </si>
  <si>
    <t>In April, NIKE unveiled the Serena Williams Building; a 1-millionsquare-foot building which is the new home for their design and product creation teams. More than 200,000 square feet is dedicated to lab space, which allows our innovation and product creation teams to test new ideas in developing, presenting, and merchandising product. Along with the LeBron James Innovation Center that opened last fall, these facilities represent the single greatest investment in sports science, research, innovation, and design in the world. Going forward, through research and innovation, more consumer focused products will be introduced to increase demand fostering growth</t>
  </si>
  <si>
    <t>NIKE launched a new Kobe shoe that pays honor to Gigi Bryant. This could boost consumer patronage for the iconic sports man particularly in the Americas.</t>
  </si>
  <si>
    <t>NOTE: In sections that 2022 actual growth rates seem to be an outlier, an average of the historical growths is adopted to grow it (positive or negative) for the forecast periods. But sections that the 2022 growth is not an outlier, the forecast will be based on the 2022 growth.</t>
  </si>
  <si>
    <t>Apparel revenues increased 16% due primarily to higher revenues in Men's and Women's primarily due to higher full-price and NIKE Direct ASPs</t>
  </si>
  <si>
    <t>NIKE management noted there is continual momentum against their largest growth drivers and the most iconic product franchises particularly in North America, EMEA, and APLA going into 2023. Revenues in these markets and segments are therefore expected to grow a little 300bp of previous year</t>
  </si>
  <si>
    <t>Check formulas for forecast period, 2023 numbers are linked to 2022 sub segments</t>
  </si>
  <si>
    <t>Please calculate the margins, do not keep them equal to 20200 for the forecast period (because you have added up the forecast EBITDAs from the segments below).</t>
  </si>
  <si>
    <t>Why is this equal to previous period and not forecasted?</t>
  </si>
  <si>
    <t>Why are the D&amp;A numbers declining by 2 basis points in the forecasts?</t>
  </si>
  <si>
    <t>Why is margin expanding by 5 bps in the forecasts?</t>
  </si>
  <si>
    <t>Because the historical trend has been a negative figure, it should follow the same trend in future</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</si>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</sst>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4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166" fontId="15" fillId="0" borderId="0" xfId="2" applyNumberFormat="1" applyFont="1" applyFill="1"/>
    <xf numFmtId="166" fontId="23" fillId="0" borderId="0" xfId="2" applyNumberFormat="1" applyFont="1" applyFill="1" applyAlignment="1">
      <alignment horizontal="right"/>
    </xf>
    <xf numFmtId="166" fontId="20" fillId="0" borderId="0" xfId="2" applyNumberFormat="1" applyFont="1" applyFill="1" applyAlignment="1">
      <alignment horizontal="right"/>
    </xf>
    <xf numFmtId="0" fontId="22" fillId="0" borderId="0" xfId="0" applyFont="1"/>
    <xf numFmtId="166" fontId="20" fillId="0" borderId="0" xfId="2" applyNumberFormat="1" applyFont="1" applyFill="1" applyAlignment="1">
      <alignment horizontal="left"/>
    </xf>
    <xf numFmtId="1" fontId="22" fillId="0" borderId="0" xfId="2" applyNumberFormat="1" applyFont="1" applyFill="1"/>
    <xf numFmtId="166" fontId="15" fillId="0" borderId="0" xfId="2" applyNumberFormat="1" applyFont="1" applyFill="1" applyAlignment="1">
      <alignment horizontal="right"/>
    </xf>
    <xf numFmtId="166" fontId="19" fillId="0" borderId="0" xfId="2" applyNumberFormat="1" applyFont="1" applyFill="1" applyAlignment="1">
      <alignment horizontal="right"/>
    </xf>
    <xf numFmtId="166" fontId="0" fillId="0" borderId="0" xfId="0" applyNumberFormat="1"/>
    <xf numFmtId="0" fontId="6"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12" sqref="A12"/>
    </sheetView>
  </sheetViews>
  <sheetFormatPr defaultRowHeight="15" x14ac:dyDescent="0.25"/>
  <cols>
    <col min="1" max="1" width="176.140625" style="19" customWidth="1"/>
  </cols>
  <sheetData>
    <row r="1" spans="1:1" ht="23.25" x14ac:dyDescent="0.35">
      <c r="A1" s="18" t="s">
        <v>20</v>
      </c>
    </row>
    <row r="2" spans="1:1" x14ac:dyDescent="0.25">
      <c r="A2" t="s">
        <v>199</v>
      </c>
    </row>
    <row r="3" spans="1:1" x14ac:dyDescent="0.25">
      <c r="A3" s="1" t="s">
        <v>200</v>
      </c>
    </row>
    <row r="4" spans="1:1" x14ac:dyDescent="0.25">
      <c r="A4" t="s">
        <v>201</v>
      </c>
    </row>
    <row r="5" spans="1:1" x14ac:dyDescent="0.25">
      <c r="A5" s="2" t="s">
        <v>202</v>
      </c>
    </row>
    <row r="6" spans="1:1" x14ac:dyDescent="0.25">
      <c r="A6" t="s">
        <v>203</v>
      </c>
    </row>
    <row r="7" spans="1:1" x14ac:dyDescent="0.25">
      <c r="A7" t="s">
        <v>204</v>
      </c>
    </row>
    <row r="8" spans="1:1" x14ac:dyDescent="0.25">
      <c r="A8" t="s">
        <v>205</v>
      </c>
    </row>
    <row r="9" spans="1:1" x14ac:dyDescent="0.25">
      <c r="A9"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162" activePane="bottomLeft" state="frozen"/>
      <selection pane="bottomLeft" activeCell="B173" sqref="B17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3"/>
  <sheetViews>
    <sheetView tabSelected="1" topLeftCell="B37" zoomScale="90" zoomScaleNormal="90" workbookViewId="0">
      <selection activeCell="O47" sqref="O47"/>
    </sheetView>
  </sheetViews>
  <sheetFormatPr defaultRowHeight="15" x14ac:dyDescent="0.25"/>
  <cols>
    <col min="1" max="1" width="48.7109375" customWidth="1"/>
    <col min="2" max="14" width="11.7109375" customWidth="1"/>
    <col min="15" max="15" width="35.42578125" customWidth="1"/>
    <col min="16" max="16" width="30.28515625" customWidth="1"/>
    <col min="20" max="20" width="8.5703125" customWidth="1"/>
  </cols>
  <sheetData>
    <row r="1" spans="1:2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146" t="s">
        <v>250</v>
      </c>
      <c r="P1" s="37"/>
    </row>
    <row r="2" spans="1:22" x14ac:dyDescent="0.25">
      <c r="A2" s="38" t="s">
        <v>128</v>
      </c>
      <c r="B2" s="38"/>
      <c r="C2" s="38"/>
      <c r="D2" s="38"/>
      <c r="E2" s="38"/>
      <c r="F2" s="38"/>
      <c r="G2" s="38"/>
      <c r="H2" s="38"/>
      <c r="I2" s="38"/>
      <c r="J2" s="37"/>
      <c r="K2" s="37"/>
      <c r="L2" s="37"/>
      <c r="M2" s="37"/>
      <c r="N2" s="37"/>
      <c r="O2" s="1"/>
      <c r="P2" s="37"/>
    </row>
    <row r="3" spans="1:22"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O3" s="69"/>
      <c r="P3" t="s">
        <v>241</v>
      </c>
      <c r="Q3" t="s">
        <v>207</v>
      </c>
      <c r="R3" s="63"/>
      <c r="S3" s="63"/>
      <c r="T3" s="63"/>
      <c r="U3" s="63"/>
      <c r="V3" s="63"/>
    </row>
    <row r="4" spans="1:22"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c r="O4" s="137"/>
    </row>
    <row r="5" spans="1:22"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c r="O5" s="69"/>
    </row>
    <row r="6" spans="1:22"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c r="O6" s="138"/>
    </row>
    <row r="7" spans="1:22"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c r="O7" s="137" t="s">
        <v>245</v>
      </c>
    </row>
    <row r="8" spans="1:22"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c r="O8" s="72"/>
      <c r="Q8" t="s">
        <v>208</v>
      </c>
    </row>
    <row r="9" spans="1:22"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138"/>
      <c r="P9" s="71"/>
    </row>
    <row r="10" spans="1:22"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137"/>
      <c r="P10" s="84"/>
    </row>
    <row r="11" spans="1:22"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c r="P11" s="69"/>
      <c r="Q11" t="s">
        <v>209</v>
      </c>
    </row>
    <row r="12" spans="1:22"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138"/>
      <c r="P12" s="71"/>
    </row>
    <row r="13" spans="1:22"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137"/>
      <c r="P13" s="70"/>
    </row>
    <row r="14" spans="1:22"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SUM(J44,J74,J104,J134,J152,J182,J205)</f>
        <v>819.54243905006854</v>
      </c>
      <c r="K14" s="72">
        <f t="shared" ref="K14:N14" si="34">SUM(K44,K74,K104,K134,K152,K182,K205)</f>
        <v>909.60623522728758</v>
      </c>
      <c r="L14" s="72">
        <f t="shared" si="34"/>
        <v>1042.1525863358725</v>
      </c>
      <c r="M14" s="72">
        <f t="shared" si="34"/>
        <v>1274.4515638461628</v>
      </c>
      <c r="N14" s="72">
        <f t="shared" si="34"/>
        <v>1731.2627157637844</v>
      </c>
      <c r="O14" s="72"/>
      <c r="P14" s="72"/>
      <c r="Q14" t="s">
        <v>210</v>
      </c>
    </row>
    <row r="15" spans="1:22"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8.1190552836502033E-2</v>
      </c>
      <c r="K15" s="83">
        <f t="shared" ref="K15" si="37">IFERROR((K14-J14)/J14,"nm")</f>
        <v>0.10989521943685061</v>
      </c>
      <c r="L15" s="83">
        <f t="shared" ref="L15" si="38">IFERROR((L14-K14)/K14,"nm")</f>
        <v>0.14571838447816365</v>
      </c>
      <c r="M15" s="83">
        <f t="shared" ref="M15" si="39">IFERROR((M14-L14)/L14,"nm")</f>
        <v>0.22290303795822788</v>
      </c>
      <c r="N15" s="83">
        <f t="shared" ref="N15" si="40">IFERROR((N14-M14)/M14,"nm")</f>
        <v>0.35843743683676205</v>
      </c>
      <c r="O15" s="138"/>
      <c r="P15" s="83"/>
    </row>
    <row r="16" spans="1:22"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1.6056751455346525E-2</v>
      </c>
      <c r="K16" s="59">
        <f t="shared" si="41"/>
        <v>1.637123226612465E-2</v>
      </c>
      <c r="L16" s="59">
        <f t="shared" si="41"/>
        <v>1.7802850112676384E-2</v>
      </c>
      <c r="M16" s="59">
        <f t="shared" si="41"/>
        <v>2.0731022832040268E-2</v>
      </c>
      <c r="N16" s="59">
        <f t="shared" si="41"/>
        <v>2.6845232525062976E-2</v>
      </c>
      <c r="O16" s="137"/>
      <c r="P16" s="84"/>
    </row>
    <row r="17" spans="1:17"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72"/>
      <c r="P17" s="135"/>
      <c r="Q17" t="s">
        <v>211</v>
      </c>
    </row>
    <row r="18" spans="1:17"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139"/>
      <c r="P18" s="62"/>
    </row>
    <row r="19" spans="1:17"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137"/>
      <c r="P19" s="84"/>
    </row>
    <row r="20" spans="1:17" x14ac:dyDescent="0.25">
      <c r="A20" s="41" t="str">
        <f>+Historicals!A109</f>
        <v>North America</v>
      </c>
      <c r="B20" s="41"/>
      <c r="C20" s="41"/>
      <c r="D20" s="41"/>
      <c r="E20" s="41"/>
      <c r="F20" s="41"/>
      <c r="G20" s="41"/>
      <c r="H20" s="41"/>
      <c r="I20" s="41"/>
      <c r="J20" s="73"/>
      <c r="K20" s="73"/>
      <c r="L20" s="73"/>
      <c r="M20" s="73"/>
      <c r="N20" s="73"/>
      <c r="O20" s="140"/>
      <c r="P20" s="73"/>
    </row>
    <row r="21" spans="1:17"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69"/>
      <c r="P21" s="135" t="s">
        <v>239</v>
      </c>
    </row>
    <row r="22" spans="1:17"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139"/>
      <c r="P22" s="62">
        <v>0.01</v>
      </c>
    </row>
    <row r="23" spans="1:17"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c r="P23" s="69" t="s">
        <v>240</v>
      </c>
    </row>
    <row r="24" spans="1:17"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c r="O24" s="139"/>
    </row>
    <row r="25" spans="1:17"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I25*(1+$P$25)</f>
        <v>5.1500000000000004E-2</v>
      </c>
      <c r="K25" s="82">
        <f>J25*(1+$P$25)</f>
        <v>5.3045000000000009E-2</v>
      </c>
      <c r="L25" s="82">
        <v>5.0999999999999997E-2</v>
      </c>
      <c r="M25" s="82">
        <f>L25-0.4%</f>
        <v>4.7E-2</v>
      </c>
      <c r="N25" s="82">
        <f>M25-0.4%</f>
        <v>4.2999999999999997E-2</v>
      </c>
      <c r="O25" s="139"/>
      <c r="P25" s="136">
        <v>0.03</v>
      </c>
    </row>
    <row r="26" spans="1:17"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c r="O26" s="139"/>
      <c r="P26" t="s">
        <v>243</v>
      </c>
    </row>
    <row r="27" spans="1:17"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c r="O27" s="69"/>
    </row>
    <row r="28" spans="1:17"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139"/>
      <c r="P28" s="62"/>
    </row>
    <row r="29" spans="1:17"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I29*(1+$P$29)</f>
        <v>9.2700000000000005E-2</v>
      </c>
      <c r="K29" s="82">
        <f>J29*(1+$P$29)</f>
        <v>9.548100000000001E-2</v>
      </c>
      <c r="L29" s="82">
        <v>5.1999999999999998E-2</v>
      </c>
      <c r="M29" s="82">
        <f>L29-0.3%</f>
        <v>4.8999999999999995E-2</v>
      </c>
      <c r="N29" s="82">
        <f>M29-0.3%</f>
        <v>4.5999999999999992E-2</v>
      </c>
      <c r="O29" s="139"/>
      <c r="P29" s="136">
        <v>0.03</v>
      </c>
    </row>
    <row r="30" spans="1:17"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139"/>
      <c r="P30" s="82"/>
    </row>
    <row r="31" spans="1:17"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c r="P31" s="69"/>
    </row>
    <row r="32" spans="1:17"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139"/>
      <c r="P32" s="62"/>
    </row>
    <row r="33" spans="1:16"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AVERAGE(C33:I33)*(1+$P$33)</f>
        <v>-2.9542857142857142E-2</v>
      </c>
      <c r="K33" s="82">
        <f>AVERAGE(D33:J33)*(1+$P$33)</f>
        <v>-1.6052897959183677E-2</v>
      </c>
      <c r="L33" s="82">
        <f>AVERAGE(E33:K33)*(1+$P$33)</f>
        <v>-4.7800013994169126E-3</v>
      </c>
      <c r="M33" s="82">
        <f>AVERAGE(F33:L33)*(1+$P$33)</f>
        <v>5.320969841232817E-3</v>
      </c>
      <c r="N33" s="82">
        <f>AVERAGE(G33:M33)*(1+$P$33)</f>
        <v>6.0355000770555096E-3</v>
      </c>
      <c r="O33" s="139"/>
      <c r="P33" s="82">
        <v>-0.06</v>
      </c>
    </row>
    <row r="34" spans="1:16"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139"/>
      <c r="P34" s="82"/>
    </row>
    <row r="35" spans="1:16"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c r="P35" s="69"/>
    </row>
    <row r="36" spans="1:16"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AVERAGE(C36:I36)*(1+$P$36)</f>
        <v>0.16483463283684058</v>
      </c>
      <c r="K36" s="82">
        <f t="shared" ref="K36:N36" si="84">AVERAGE(D36:J36)*(1+$P$36)</f>
        <v>0.20392920749936383</v>
      </c>
      <c r="L36" s="82">
        <f t="shared" si="84"/>
        <v>0.25594472539599022</v>
      </c>
      <c r="M36" s="82">
        <f t="shared" si="84"/>
        <v>0.35178169220532279</v>
      </c>
      <c r="N36" s="82">
        <f t="shared" si="84"/>
        <v>0.43226300837755793</v>
      </c>
      <c r="O36" s="139"/>
      <c r="P36" s="82">
        <v>1.1000000000000001</v>
      </c>
    </row>
    <row r="37" spans="1:16"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c r="O37" s="141" t="s">
        <v>246</v>
      </c>
    </row>
    <row r="38" spans="1:16"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c r="P38" s="69"/>
    </row>
    <row r="39" spans="1:16"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AVERAGE(C39:I39)*(1+$P$39)</f>
        <v>7.1260909145023201E-3</v>
      </c>
      <c r="K39" s="82">
        <f t="shared" ref="K39:N39" si="89">J39*(1+$P$39)</f>
        <v>6.9123081870672504E-3</v>
      </c>
      <c r="L39" s="82">
        <f t="shared" si="89"/>
        <v>6.7049389414552329E-3</v>
      </c>
      <c r="M39" s="82">
        <f t="shared" si="89"/>
        <v>6.5037907732115761E-3</v>
      </c>
      <c r="N39" s="82">
        <f t="shared" si="89"/>
        <v>6.3086770500152285E-3</v>
      </c>
      <c r="O39" s="139"/>
      <c r="P39" s="82">
        <v>-0.03</v>
      </c>
    </row>
    <row r="40" spans="1:16"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c r="O40" s="141" t="s">
        <v>247</v>
      </c>
    </row>
    <row r="41" spans="1:16"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c r="P41" s="69"/>
    </row>
    <row r="42" spans="1:16"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139"/>
      <c r="P42" s="62"/>
    </row>
    <row r="43" spans="1:16"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I43*(1+$P$43)</f>
        <v>0.26750068108756064</v>
      </c>
      <c r="K43" s="62">
        <f>J43*(1+$P$43)</f>
        <v>0.2568006538440582</v>
      </c>
      <c r="L43" s="62">
        <f>K43*(1+$P$43)</f>
        <v>0.24652862769029588</v>
      </c>
      <c r="M43" s="62">
        <f>L43*(1+$P$43)</f>
        <v>0.23666748258268402</v>
      </c>
      <c r="N43" s="62">
        <f>M43*(1+$P$43)</f>
        <v>0.22720078327937665</v>
      </c>
      <c r="O43" s="139"/>
      <c r="P43" s="62">
        <v>-0.04</v>
      </c>
    </row>
    <row r="44" spans="1:16"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c r="P44" s="69"/>
    </row>
    <row r="45" spans="1:16"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139"/>
      <c r="P45" s="62"/>
    </row>
    <row r="46" spans="1:16"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I46*(1+$P$46)</f>
        <v>7.7164496267640176E-3</v>
      </c>
      <c r="K46" s="82">
        <f>J46*(1+$P$46)</f>
        <v>7.4849561379610966E-3</v>
      </c>
      <c r="L46" s="82">
        <f>K46*(1+$P$46)</f>
        <v>7.2604074538222636E-3</v>
      </c>
      <c r="M46" s="82">
        <f>L46*(1+$P$46)</f>
        <v>7.0425952302075956E-3</v>
      </c>
      <c r="N46" s="82">
        <f>M46*(1+$P$46)</f>
        <v>6.8313173733013672E-3</v>
      </c>
      <c r="O46" s="139"/>
      <c r="P46" s="82">
        <v>-0.03</v>
      </c>
    </row>
    <row r="47" spans="1:16"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c r="P47" s="69"/>
    </row>
    <row r="48" spans="1:16"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139"/>
      <c r="P48" s="62"/>
    </row>
    <row r="49" spans="1:16"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I49*(1+$P$49)</f>
        <v>3.6558055903666981E-2</v>
      </c>
      <c r="K49" s="82">
        <f>J49*(1+$P$49)</f>
        <v>3.838595869885033E-2</v>
      </c>
      <c r="L49" s="82">
        <f>K49*(1+$P$49)</f>
        <v>4.0305256633792849E-2</v>
      </c>
      <c r="M49" s="82">
        <f>L49*(1+$P$49)</f>
        <v>4.2320519465482494E-2</v>
      </c>
      <c r="N49" s="82">
        <f>M49*(1+$P$49)</f>
        <v>4.4436545438756622E-2</v>
      </c>
      <c r="O49" s="139"/>
      <c r="P49" s="82">
        <v>0.05</v>
      </c>
    </row>
    <row r="50" spans="1:16" x14ac:dyDescent="0.25">
      <c r="A50" s="41" t="str">
        <f>+Historicals!A113</f>
        <v>Europe, Middle East &amp; Africa</v>
      </c>
      <c r="B50" s="41"/>
      <c r="C50" s="41"/>
      <c r="D50" s="41"/>
      <c r="E50" s="41"/>
      <c r="F50" s="41"/>
      <c r="G50" s="41"/>
      <c r="H50" s="41"/>
      <c r="I50" s="41"/>
      <c r="J50" s="73"/>
      <c r="K50" s="73"/>
      <c r="L50" s="73"/>
      <c r="M50" s="73"/>
      <c r="N50" s="73"/>
      <c r="O50" s="140"/>
      <c r="P50" s="73"/>
    </row>
    <row r="51" spans="1:16"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c r="O51" s="69" t="s">
        <v>244</v>
      </c>
      <c r="P51" t="s">
        <v>222</v>
      </c>
    </row>
    <row r="52" spans="1:16"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c r="O52" s="138"/>
      <c r="P52" t="s">
        <v>230</v>
      </c>
    </row>
    <row r="53" spans="1:16"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c r="O53" s="69"/>
    </row>
    <row r="54" spans="1:16"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138"/>
      <c r="P54" s="83">
        <v>0.05</v>
      </c>
    </row>
    <row r="55" spans="1:16"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AVERAGE(D55:I55)*(1+$P$54)</f>
        <v>9.2749999999999999E-2</v>
      </c>
      <c r="K55" s="82">
        <f t="shared" ref="K55:N55" si="123">AVERAGE(E55:J55)*(1+$P$54)</f>
        <v>0.10023124999999999</v>
      </c>
      <c r="L55" s="82">
        <v>5.1999999999999998E-2</v>
      </c>
      <c r="M55" s="82">
        <v>4.9000000000000002E-2</v>
      </c>
      <c r="N55" s="82">
        <v>4.9000000000000002E-2</v>
      </c>
      <c r="O55" s="139"/>
      <c r="P55" t="s">
        <v>227</v>
      </c>
    </row>
    <row r="56" spans="1:16"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137"/>
      <c r="P56" s="70"/>
    </row>
    <row r="57" spans="1:16"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c r="O57" s="69"/>
      <c r="P57" t="s">
        <v>242</v>
      </c>
    </row>
    <row r="58" spans="1:16"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38"/>
      <c r="P58" s="19" t="s">
        <v>228</v>
      </c>
    </row>
    <row r="59" spans="1:16"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AVERAGE(E59:I59)*(1+$P$59)</f>
        <v>0.13668</v>
      </c>
      <c r="K59" s="82">
        <f t="shared" ref="K59:N59" si="128">AVERAGE(F59:J59)*(1+$P$59)</f>
        <v>0.13199268</v>
      </c>
      <c r="L59" s="82">
        <v>4.8000000000000001E-2</v>
      </c>
      <c r="M59" s="82">
        <v>4.8000000000000001E-2</v>
      </c>
      <c r="N59" s="82">
        <v>4.8000000000000001E-2</v>
      </c>
      <c r="O59" s="139"/>
      <c r="P59" s="82">
        <v>5.0000000000000001E-3</v>
      </c>
    </row>
    <row r="60" spans="1:16"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137"/>
      <c r="P60" s="84"/>
    </row>
    <row r="61" spans="1:16"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c r="P61" s="69"/>
    </row>
    <row r="62" spans="1:16"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138"/>
      <c r="P62" s="71"/>
    </row>
    <row r="63" spans="1:16" x14ac:dyDescent="0.25">
      <c r="A63" s="42" t="s">
        <v>137</v>
      </c>
      <c r="D63" s="59">
        <f>Historicals!D188</f>
        <v>0.02</v>
      </c>
      <c r="E63" s="59">
        <f>Historicals!E188</f>
        <v>0.06</v>
      </c>
      <c r="F63" s="59">
        <f>Historicals!F188</f>
        <v>0.05</v>
      </c>
      <c r="G63" s="59">
        <f>Historicals!G188</f>
        <v>-0.03</v>
      </c>
      <c r="H63" s="59">
        <f>Historicals!H188</f>
        <v>0.19</v>
      </c>
      <c r="I63" s="59">
        <f>Historicals!I188</f>
        <v>0.17</v>
      </c>
      <c r="J63" s="82">
        <f>I63*(1+$P$63)</f>
        <v>0.17085</v>
      </c>
      <c r="K63" s="82">
        <f>J63*(1+$P$63)</f>
        <v>0.17170424999999997</v>
      </c>
      <c r="L63" s="82">
        <v>0.06</v>
      </c>
      <c r="M63" s="82">
        <v>5.6000000000000001E-2</v>
      </c>
      <c r="N63" s="82">
        <v>5.6000000000000001E-2</v>
      </c>
      <c r="O63" s="139"/>
      <c r="P63" s="82">
        <v>5.0000000000000001E-3</v>
      </c>
    </row>
    <row r="64" spans="1:16"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137"/>
      <c r="P64" s="70"/>
    </row>
    <row r="65" spans="1:16"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c r="P65" s="69"/>
    </row>
    <row r="66" spans="1:16"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138"/>
      <c r="P66" s="83"/>
    </row>
    <row r="67" spans="1:16"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AVERAGE(C67:I67)*(1+$P$67)</f>
        <v>0.2289894600864697</v>
      </c>
      <c r="K67" s="84">
        <f>AVERAGE(D67:J67)*(1+$P$67)</f>
        <v>0.22624637583146626</v>
      </c>
      <c r="L67" s="84">
        <f>AVERAGE(E67:K67)*(1+$P$67)</f>
        <v>0.22982574124006322</v>
      </c>
      <c r="M67" s="84">
        <f>AVERAGE(F67:L67)*(1+$P$67)</f>
        <v>0.23665948124018221</v>
      </c>
      <c r="N67" s="84">
        <f>AVERAGE(G67:M67)*(1+$P$67)</f>
        <v>0.23996313232959321</v>
      </c>
      <c r="O67" s="137" t="s">
        <v>248</v>
      </c>
      <c r="P67" s="84">
        <v>0.05</v>
      </c>
    </row>
    <row r="68" spans="1:16"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c r="P68" s="69"/>
    </row>
    <row r="69" spans="1:16"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138"/>
      <c r="P69" s="71"/>
    </row>
    <row r="70" spans="1:16"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I70*(1+$P$70)</f>
        <v>1.0952800705184711E-2</v>
      </c>
      <c r="K70" s="70">
        <f>J70*(1+$P$70)</f>
        <v>1.1171856719288406E-2</v>
      </c>
      <c r="L70" s="70">
        <f>K70*(1+$P$70)</f>
        <v>1.1395293853674174E-2</v>
      </c>
      <c r="M70" s="70">
        <f>L70*(1+$P$70)</f>
        <v>1.1623199730747658E-2</v>
      </c>
      <c r="N70" s="70">
        <f>M70*(1+$P$70)</f>
        <v>1.1855663725362611E-2</v>
      </c>
      <c r="O70" s="137"/>
      <c r="P70" s="70">
        <v>0.02</v>
      </c>
    </row>
    <row r="71" spans="1:16"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69"/>
      <c r="P71" s="50" t="s">
        <v>223</v>
      </c>
    </row>
    <row r="72" spans="1:16"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138"/>
      <c r="P72" s="83"/>
    </row>
    <row r="73" spans="1:16"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AVERAGE(C73:I73)*(1+$P$73)</f>
        <v>0.21642090401190583</v>
      </c>
      <c r="K73" s="70">
        <f>AVERAGE(D73:J73)*(1+$P$73)</f>
        <v>0.21327674113874623</v>
      </c>
      <c r="L73" s="70">
        <f>AVERAGE(E73:K73)*(1+$P$73)</f>
        <v>0.21690564252285799</v>
      </c>
      <c r="M73" s="70">
        <f>AVERAGE(F73:L73)*(1+$P$73)</f>
        <v>0.22368407708566238</v>
      </c>
      <c r="N73" s="70">
        <f>AVERAGE(G73:M73)*(1+$P$73)</f>
        <v>0.22673831930485089</v>
      </c>
      <c r="O73" s="137"/>
      <c r="P73" s="70">
        <v>0.05</v>
      </c>
    </row>
    <row r="74" spans="1:16"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c r="P74" s="69"/>
    </row>
    <row r="75" spans="1:16"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138"/>
      <c r="P75" s="83"/>
    </row>
    <row r="76" spans="1:16"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I76*(1+$P$76)</f>
        <v>1.610225178299543E-2</v>
      </c>
      <c r="K76" s="84">
        <f>J76*(1+$P$76)</f>
        <v>1.6424296818655339E-2</v>
      </c>
      <c r="L76" s="84">
        <f>K76*(1+$P$76)</f>
        <v>1.6752782755028447E-2</v>
      </c>
      <c r="M76" s="84">
        <f>L76*(1+$P$76)</f>
        <v>1.7087838410129015E-2</v>
      </c>
      <c r="N76" s="84">
        <f>M76*(1+$P$76)</f>
        <v>1.7429595178331595E-2</v>
      </c>
      <c r="O76" s="137"/>
      <c r="P76" s="84">
        <v>0.02</v>
      </c>
    </row>
    <row r="77" spans="1:16"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42"/>
      <c r="P77" s="124"/>
    </row>
    <row r="78" spans="1:16"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138"/>
      <c r="P78" s="83"/>
    </row>
    <row r="79" spans="1:16"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I79*(1+$P$79)</f>
        <v>7.7410048882121968E-2</v>
      </c>
      <c r="K79" s="74">
        <f>J79*(1+$P$79)</f>
        <v>8.1280551326228065E-2</v>
      </c>
      <c r="L79" s="74">
        <f>K79*(1+$P$79)</f>
        <v>8.5344578892539477E-2</v>
      </c>
      <c r="M79" s="74">
        <f>L79*(1+$P$79)</f>
        <v>8.9611807837166449E-2</v>
      </c>
      <c r="N79" s="74">
        <f>M79*(1+$P$79)</f>
        <v>9.4092398229024779E-2</v>
      </c>
      <c r="O79" s="74"/>
      <c r="P79" s="74">
        <v>0.05</v>
      </c>
    </row>
    <row r="80" spans="1:16" x14ac:dyDescent="0.25">
      <c r="A80" s="41" t="str">
        <f>Historicals!A189</f>
        <v>Greater China</v>
      </c>
      <c r="B80" s="41"/>
      <c r="C80" s="41"/>
      <c r="D80" s="41"/>
      <c r="E80" s="41"/>
      <c r="F80" s="41"/>
      <c r="G80" s="41"/>
      <c r="H80" s="41"/>
      <c r="I80" s="41"/>
      <c r="J80" s="73"/>
      <c r="K80" s="73"/>
      <c r="L80" s="73"/>
      <c r="M80" s="73"/>
      <c r="N80" s="73"/>
      <c r="O80" s="140"/>
      <c r="P80" s="73"/>
    </row>
    <row r="81" spans="1:16"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c r="O81" s="69"/>
      <c r="P81" t="s">
        <v>233</v>
      </c>
    </row>
    <row r="82" spans="1:16"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c r="O82" s="138"/>
      <c r="P82" t="s">
        <v>232</v>
      </c>
    </row>
    <row r="83" spans="1:16"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c r="O83" s="69"/>
    </row>
    <row r="84" spans="1:16"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8"/>
      <c r="P84" s="136">
        <v>-0.25</v>
      </c>
    </row>
    <row r="85" spans="1:16"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AVERAGE(C85:I85)*(1+$P$84)</f>
        <v>0.12107142857142857</v>
      </c>
      <c r="K85" s="82">
        <f>AVERAGE(D85:J85)*(1+$P$84)</f>
        <v>9.8686224489795915E-2</v>
      </c>
      <c r="L85" s="82">
        <v>5.1999999999999998E-2</v>
      </c>
      <c r="M85" s="82">
        <f>L85-0.3%</f>
        <v>4.8999999999999995E-2</v>
      </c>
      <c r="N85" s="82">
        <f>M85-0.3%</f>
        <v>4.5999999999999992E-2</v>
      </c>
      <c r="O85" s="139"/>
      <c r="P85" s="82"/>
    </row>
    <row r="86" spans="1:16"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137"/>
      <c r="P86" s="70"/>
    </row>
    <row r="87" spans="1:16"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c r="O87" s="69"/>
      <c r="P87" t="s">
        <v>231</v>
      </c>
    </row>
    <row r="88" spans="1:16"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138"/>
      <c r="P88" s="71"/>
    </row>
    <row r="89" spans="1:16"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AVERAGE(C89:I89)*(1+$P$89)</f>
        <v>9.3214285714285694E-2</v>
      </c>
      <c r="K89" s="82">
        <f>AVERAGE(D89:J89)*(1+$P$89)</f>
        <v>8.4987244897959169E-2</v>
      </c>
      <c r="L89" s="82">
        <v>5.0999999999999997E-2</v>
      </c>
      <c r="M89" s="82">
        <f>L89-0.4%</f>
        <v>4.7E-2</v>
      </c>
      <c r="N89" s="82">
        <f>M89-0.4%</f>
        <v>4.2999999999999997E-2</v>
      </c>
      <c r="O89" s="139"/>
      <c r="P89" s="82">
        <v>-0.25</v>
      </c>
    </row>
    <row r="90" spans="1:16"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143"/>
      <c r="P90" s="75"/>
    </row>
    <row r="91" spans="1:16"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c r="P91" s="69"/>
    </row>
    <row r="92" spans="1:16"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138"/>
      <c r="P92" s="83"/>
    </row>
    <row r="93" spans="1:16"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AVERAGE(C93:I93)*(1+$P$93)</f>
        <v>5.1428571428571435E-2</v>
      </c>
      <c r="K93" s="82">
        <f>AVERAGE(D93:J93)*(1+$P$93)</f>
        <v>4.9438775510204078E-2</v>
      </c>
      <c r="L93" s="82">
        <v>0.05</v>
      </c>
      <c r="M93" s="82">
        <f>L93-0.3%</f>
        <v>4.7E-2</v>
      </c>
      <c r="N93" s="82">
        <f>M93-0.3%</f>
        <v>4.3999999999999997E-2</v>
      </c>
      <c r="O93" s="139"/>
      <c r="P93" s="82">
        <v>-0.25</v>
      </c>
    </row>
    <row r="94" spans="1:16"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143"/>
      <c r="P94" s="75"/>
    </row>
    <row r="95" spans="1:16"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c r="P95" s="69"/>
    </row>
    <row r="96" spans="1:16"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138"/>
      <c r="P96" s="71"/>
    </row>
    <row r="97" spans="1:16"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I97*(1+$P$97)</f>
        <v>0.33155425997084931</v>
      </c>
      <c r="K97" s="84">
        <f>J97*(1+$P$97)</f>
        <v>0.34481643036968329</v>
      </c>
      <c r="L97" s="84">
        <f>K97*(1+$P$97)</f>
        <v>0.35860908758447063</v>
      </c>
      <c r="M97" s="84">
        <f>L97*(1+$P$97)</f>
        <v>0.3729534510878495</v>
      </c>
      <c r="N97" s="84">
        <f>M97*(1+$P$97)</f>
        <v>0.38787158913136349</v>
      </c>
      <c r="O97" s="137"/>
      <c r="P97" s="84">
        <v>0.04</v>
      </c>
    </row>
    <row r="98" spans="1:16"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c r="P98" s="69"/>
    </row>
    <row r="99" spans="1:16"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138"/>
      <c r="P99" s="71"/>
    </row>
    <row r="100" spans="1:16"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I100*(1+$P$100)</f>
        <v>5.6499271233602759E-3</v>
      </c>
      <c r="K100" s="70">
        <f>J100*(1+$P$100)</f>
        <v>5.8759242082946873E-3</v>
      </c>
      <c r="L100" s="70">
        <f>K100*(1+$P$100)</f>
        <v>6.1109611766264754E-3</v>
      </c>
      <c r="M100" s="70">
        <f>L100*(1+$P$100)</f>
        <v>6.3553996236915345E-3</v>
      </c>
      <c r="N100" s="70">
        <f>M100*(1+$P$100)</f>
        <v>6.6096156086391964E-3</v>
      </c>
      <c r="O100" s="137"/>
      <c r="P100" s="70">
        <v>0.04</v>
      </c>
    </row>
    <row r="101" spans="1:16"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c r="O101" s="69"/>
      <c r="P101" t="s">
        <v>221</v>
      </c>
    </row>
    <row r="102" spans="1:16"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138"/>
      <c r="P102" s="83"/>
    </row>
    <row r="103" spans="1:16"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I103*(1+$P$103)</f>
        <v>0.32590433284748904</v>
      </c>
      <c r="K103" s="84">
        <f>J103*(1+$P$103)</f>
        <v>0.3389405061613886</v>
      </c>
      <c r="L103" s="84">
        <f>K103*(1+$P$103)</f>
        <v>0.35249812640784417</v>
      </c>
      <c r="M103" s="84">
        <f>L103*(1+$P$103)</f>
        <v>0.36659805146415797</v>
      </c>
      <c r="N103" s="84">
        <f>M103*(1+$P$103)</f>
        <v>0.38126197352272428</v>
      </c>
      <c r="O103" s="137"/>
      <c r="P103" s="84">
        <v>0.04</v>
      </c>
    </row>
    <row r="104" spans="1:16"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c r="P104" s="69"/>
    </row>
    <row r="105" spans="1:16"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138"/>
      <c r="P105" s="71"/>
    </row>
    <row r="106" spans="1:16"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I106*(1+$P$106)</f>
        <v>1.0386908705445872E-2</v>
      </c>
      <c r="K106" s="70">
        <f>J106*(1+$P$106)</f>
        <v>1.0438843248973101E-2</v>
      </c>
      <c r="L106" s="70">
        <f>K106*(1+$P$106)</f>
        <v>1.0491037465217965E-2</v>
      </c>
      <c r="M106" s="70">
        <f>L106*(1+$P$106)</f>
        <v>1.0543492652544053E-2</v>
      </c>
      <c r="N106" s="70">
        <f>M106*(1+$P$106)</f>
        <v>1.0596210115806772E-2</v>
      </c>
      <c r="O106" s="137"/>
      <c r="P106" s="70">
        <v>5.0000000000000001E-3</v>
      </c>
    </row>
    <row r="107" spans="1:16"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42"/>
      <c r="P107" s="124"/>
    </row>
    <row r="108" spans="1:16"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138"/>
      <c r="P108" s="83"/>
    </row>
    <row r="109" spans="1:16"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I109*(1+$P$109)</f>
        <v>4.0349145355770499E-2</v>
      </c>
      <c r="K109" s="85">
        <f>J109*(1+$P$109)</f>
        <v>4.0550891082549348E-2</v>
      </c>
      <c r="L109" s="85">
        <f>K109*(1+$P$109)</f>
        <v>4.075364553796209E-2</v>
      </c>
      <c r="M109" s="85">
        <f>L109*(1+$P$109)</f>
        <v>4.0957413765651894E-2</v>
      </c>
      <c r="N109" s="85">
        <f>M109*(1+$P$109)</f>
        <v>4.1162200834480148E-2</v>
      </c>
      <c r="O109" s="74"/>
      <c r="P109" s="85">
        <v>5.0000000000000001E-3</v>
      </c>
    </row>
    <row r="110" spans="1:16" x14ac:dyDescent="0.25">
      <c r="A110" s="41" t="str">
        <f>Historicals!A121</f>
        <v>Asia Pacific &amp; Latin America</v>
      </c>
      <c r="B110" s="41"/>
      <c r="C110" s="41"/>
      <c r="D110" s="41"/>
      <c r="E110" s="41"/>
      <c r="F110" s="41"/>
      <c r="G110" s="41"/>
      <c r="H110" s="41"/>
      <c r="I110" s="41"/>
      <c r="J110" s="73"/>
      <c r="K110" s="73"/>
      <c r="L110" s="73"/>
      <c r="M110" s="73"/>
      <c r="N110" s="73"/>
      <c r="O110" s="140"/>
      <c r="P110" s="73"/>
    </row>
    <row r="111" spans="1:16"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c r="O111" s="69"/>
      <c r="P111" t="s">
        <v>234</v>
      </c>
    </row>
    <row r="112" spans="1:16"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138"/>
      <c r="P112" s="71"/>
    </row>
    <row r="113" spans="1:16"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c r="P113" s="69"/>
    </row>
    <row r="114" spans="1:16"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c r="O114" s="138"/>
      <c r="P114" t="s">
        <v>229</v>
      </c>
    </row>
    <row r="115" spans="1:16"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AVERAGE(B115:I115)*(1+$P$115)</f>
        <v>0.11687500000000001</v>
      </c>
      <c r="K115" s="82">
        <f>AVERAGE(C115:J115)*(1+$P$115)</f>
        <v>0.10485546874999999</v>
      </c>
      <c r="L115" s="82">
        <f>L89</f>
        <v>5.0999999999999997E-2</v>
      </c>
      <c r="M115" s="82">
        <f t="shared" ref="M115:N115" si="306">M89</f>
        <v>4.7E-2</v>
      </c>
      <c r="N115" s="82">
        <f t="shared" si="306"/>
        <v>4.2999999999999997E-2</v>
      </c>
      <c r="O115" s="139"/>
      <c r="P115" s="82">
        <v>-0.15</v>
      </c>
    </row>
    <row r="116" spans="1:16" x14ac:dyDescent="0.25">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137"/>
      <c r="P116" s="84"/>
    </row>
    <row r="117" spans="1:16"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c r="O117" s="69"/>
    </row>
    <row r="118" spans="1:16" x14ac:dyDescent="0.25">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138"/>
      <c r="P118" s="71"/>
    </row>
    <row r="119" spans="1:16"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I119*(1+$P$119)</f>
        <v>0.10199999999999999</v>
      </c>
      <c r="K119" s="82">
        <f>J119*(1+$P$119)</f>
        <v>8.6699999999999985E-2</v>
      </c>
      <c r="L119" s="82">
        <f>L85</f>
        <v>5.1999999999999998E-2</v>
      </c>
      <c r="M119" s="82">
        <f t="shared" ref="M119:N119" si="318">M85</f>
        <v>4.8999999999999995E-2</v>
      </c>
      <c r="N119" s="82">
        <f t="shared" si="318"/>
        <v>4.5999999999999992E-2</v>
      </c>
      <c r="O119" s="139"/>
      <c r="P119" s="82">
        <v>-0.15</v>
      </c>
    </row>
    <row r="120" spans="1:16" x14ac:dyDescent="0.25">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143"/>
      <c r="P120" s="86"/>
    </row>
    <row r="121" spans="1:16"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c r="P121" s="69"/>
    </row>
    <row r="122" spans="1:16" x14ac:dyDescent="0.25">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c r="O122" s="138"/>
    </row>
    <row r="123" spans="1:16"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J123*(1+Q123)</f>
        <v>9.6000000000000002E-2</v>
      </c>
      <c r="L123" s="82">
        <f>K123*(1+R123)</f>
        <v>9.6000000000000002E-2</v>
      </c>
      <c r="M123" s="82">
        <f>L123*(1+S123)</f>
        <v>9.6000000000000002E-2</v>
      </c>
      <c r="N123" s="82">
        <f>M123*(1+T123)</f>
        <v>9.6000000000000002E-2</v>
      </c>
      <c r="O123" s="139"/>
      <c r="P123" s="82">
        <v>-0.15</v>
      </c>
    </row>
    <row r="124" spans="1:16" x14ac:dyDescent="0.25">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143"/>
      <c r="P124" s="86"/>
    </row>
    <row r="125" spans="1:16"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c r="P125" s="69"/>
    </row>
    <row r="126" spans="1:16" x14ac:dyDescent="0.25">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c r="O126" s="138"/>
    </row>
    <row r="127" spans="1:16" x14ac:dyDescent="0.25">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I127*(1+$P$127)</f>
        <v>0.32218639798488663</v>
      </c>
      <c r="K127" s="70">
        <f t="shared" ref="K127:N127" si="356">J127*(1+$P$127)</f>
        <v>0.31896453400503777</v>
      </c>
      <c r="L127" s="70">
        <f t="shared" si="356"/>
        <v>0.31577488866498737</v>
      </c>
      <c r="M127" s="70">
        <f t="shared" si="356"/>
        <v>0.31261713977833749</v>
      </c>
      <c r="N127" s="70">
        <f t="shared" si="356"/>
        <v>0.30949096838055412</v>
      </c>
      <c r="O127" s="137"/>
      <c r="P127" s="70">
        <v>-0.01</v>
      </c>
    </row>
    <row r="128" spans="1:16"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c r="P128" s="69"/>
    </row>
    <row r="129" spans="1:16" x14ac:dyDescent="0.25">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138"/>
      <c r="P129" s="83"/>
    </row>
    <row r="130" spans="1:16" x14ac:dyDescent="0.25">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I130*(1+$P$130)</f>
        <v>7.1234256926952138E-3</v>
      </c>
      <c r="K130" s="84">
        <f t="shared" ref="K130:N130" si="371">J130*(1+$P$130)</f>
        <v>7.1946599496221656E-3</v>
      </c>
      <c r="L130" s="84">
        <f t="shared" si="371"/>
        <v>7.2666065491183872E-3</v>
      </c>
      <c r="M130" s="84">
        <f t="shared" si="371"/>
        <v>7.3392726146095707E-3</v>
      </c>
      <c r="N130" s="84">
        <f t="shared" si="371"/>
        <v>7.4126653407556664E-3</v>
      </c>
      <c r="O130" s="137"/>
      <c r="P130" s="84">
        <v>0.01</v>
      </c>
    </row>
    <row r="131" spans="1:16" x14ac:dyDescent="0.25">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c r="O131" s="123"/>
      <c r="P131" t="s">
        <v>235</v>
      </c>
    </row>
    <row r="132" spans="1:16" x14ac:dyDescent="0.25">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138"/>
      <c r="P132" s="71"/>
    </row>
    <row r="133" spans="1:16" x14ac:dyDescent="0.25">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AVERAGE(D133:I133)*(1+$P$133)</f>
        <v>0.25611990554509417</v>
      </c>
      <c r="K133" s="70">
        <f t="shared" ref="K133:N133" si="386">AVERAGE(E133:J133)*(1+$P$133)</f>
        <v>0.26436725592613514</v>
      </c>
      <c r="L133" s="70">
        <f t="shared" si="386"/>
        <v>0.27009718399217547</v>
      </c>
      <c r="M133" s="70">
        <f t="shared" si="386"/>
        <v>0.27316059782666241</v>
      </c>
      <c r="N133" s="70">
        <f t="shared" si="386"/>
        <v>0.27947187942643104</v>
      </c>
      <c r="O133" s="137"/>
      <c r="P133" s="70">
        <v>5.0000000000000001E-3</v>
      </c>
    </row>
    <row r="134" spans="1:16"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c r="P134" s="69"/>
    </row>
    <row r="135" spans="1:16" x14ac:dyDescent="0.25">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138"/>
      <c r="P135" s="83"/>
    </row>
    <row r="136" spans="1:16" x14ac:dyDescent="0.25">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I136*(1+$P$136)</f>
        <v>9.450881612090678E-3</v>
      </c>
      <c r="K136" s="70">
        <f t="shared" ref="K136:N136" si="401">J136*(1+$P$136)</f>
        <v>9.4981360201511298E-3</v>
      </c>
      <c r="L136" s="70">
        <f t="shared" si="401"/>
        <v>9.545626700251884E-3</v>
      </c>
      <c r="M136" s="70">
        <f t="shared" si="401"/>
        <v>9.593354833753143E-3</v>
      </c>
      <c r="N136" s="70">
        <f t="shared" si="401"/>
        <v>9.6413216079219086E-3</v>
      </c>
      <c r="O136" s="137"/>
      <c r="P136" s="70">
        <v>5.0000000000000001E-3</v>
      </c>
    </row>
    <row r="137" spans="1:16"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42"/>
      <c r="P137" s="124"/>
    </row>
    <row r="138" spans="1:16" x14ac:dyDescent="0.25">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138"/>
      <c r="P138" s="83"/>
    </row>
    <row r="139" spans="1:16" x14ac:dyDescent="0.25">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I139*(1+$P$139)</f>
        <v>4.6241813602015111E-2</v>
      </c>
      <c r="K139" s="74">
        <f t="shared" ref="K139:N139" si="410">J139*(1+$P$139)</f>
        <v>4.6473022670025184E-2</v>
      </c>
      <c r="L139" s="74">
        <f t="shared" si="410"/>
        <v>4.6705387783375303E-2</v>
      </c>
      <c r="M139" s="74">
        <f t="shared" si="410"/>
        <v>4.6938914722292176E-2</v>
      </c>
      <c r="N139" s="74">
        <f t="shared" si="410"/>
        <v>4.7173609295903633E-2</v>
      </c>
      <c r="O139" s="74"/>
      <c r="P139" s="74">
        <v>5.0000000000000001E-3</v>
      </c>
    </row>
    <row r="140" spans="1:16" x14ac:dyDescent="0.25">
      <c r="A140" s="41" t="str">
        <f>Historicals!A125</f>
        <v>Global Brand Divisions</v>
      </c>
      <c r="B140" s="41"/>
      <c r="C140" s="41"/>
      <c r="D140" s="41"/>
      <c r="E140" s="41"/>
      <c r="F140" s="41"/>
      <c r="G140" s="41"/>
      <c r="H140" s="41"/>
      <c r="I140" s="41"/>
      <c r="J140" s="73"/>
      <c r="K140" s="73"/>
      <c r="L140" s="73"/>
      <c r="M140" s="73"/>
      <c r="N140" s="73"/>
      <c r="O140" s="140"/>
      <c r="P140" s="73"/>
    </row>
    <row r="141" spans="1:16"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c r="O141" s="69"/>
      <c r="P141" t="s">
        <v>237</v>
      </c>
    </row>
    <row r="142" spans="1:16" x14ac:dyDescent="0.25">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AVERAGE(G142:I142)*(1+$P$142)</f>
        <v>-8.7587301587301658E-2</v>
      </c>
      <c r="K142" s="70">
        <f t="shared" ref="K142:N142" si="418">AVERAGE(H142:J142)*(1+$P$142)</f>
        <v>-9.4191534391534493E-2</v>
      </c>
      <c r="L142" s="70">
        <f t="shared" si="418"/>
        <v>-9.6607372134038874E-2</v>
      </c>
      <c r="M142" s="70">
        <f t="shared" si="418"/>
        <v>9.2795402704291749E-3</v>
      </c>
      <c r="N142" s="70">
        <f t="shared" si="418"/>
        <v>6.050645541838145E-3</v>
      </c>
      <c r="O142" s="137"/>
      <c r="P142" s="71">
        <v>-1.1000000000000001</v>
      </c>
    </row>
    <row r="143" spans="1:16"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c r="O143" s="76"/>
      <c r="P143" t="s">
        <v>238</v>
      </c>
    </row>
    <row r="144" spans="1:16" x14ac:dyDescent="0.25">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138"/>
      <c r="P144" s="83"/>
    </row>
    <row r="145" spans="1:16" x14ac:dyDescent="0.25">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I145*(1+$P$145)</f>
        <v>-43.590196078431376</v>
      </c>
      <c r="K145" s="70">
        <f t="shared" ref="K145:N145" si="433">J145*(1+$P$145)</f>
        <v>-47.94921568627452</v>
      </c>
      <c r="L145" s="70">
        <f t="shared" si="433"/>
        <v>-52.744137254901979</v>
      </c>
      <c r="M145" s="70">
        <f t="shared" si="433"/>
        <v>-58.018550980392185</v>
      </c>
      <c r="N145" s="70">
        <f t="shared" si="433"/>
        <v>-63.820406078431411</v>
      </c>
      <c r="O145" s="137"/>
      <c r="P145" s="70">
        <v>0.1</v>
      </c>
    </row>
    <row r="146" spans="1:16"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c r="P146" s="69"/>
    </row>
    <row r="147" spans="1:16" x14ac:dyDescent="0.25">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138"/>
      <c r="P147" s="71"/>
    </row>
    <row r="148" spans="1:16" x14ac:dyDescent="0.25">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I148*(1+$P$148)</f>
        <v>2.1676470588235293</v>
      </c>
      <c r="K148" s="70">
        <f t="shared" ref="K148:N148" si="448">J148*(1+$P$148)</f>
        <v>2.1784852941176465</v>
      </c>
      <c r="L148" s="70">
        <f t="shared" si="448"/>
        <v>2.1893777205882343</v>
      </c>
      <c r="M148" s="70">
        <f t="shared" si="448"/>
        <v>2.2003246091911755</v>
      </c>
      <c r="N148" s="70">
        <f t="shared" si="448"/>
        <v>2.211326232237131</v>
      </c>
      <c r="O148" s="137"/>
      <c r="P148" s="70">
        <v>5.0000000000000001E-3</v>
      </c>
    </row>
    <row r="149" spans="1:16" x14ac:dyDescent="0.25">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c r="P149" s="64"/>
    </row>
    <row r="150" spans="1:16" x14ac:dyDescent="0.25">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138"/>
      <c r="P150" s="83"/>
    </row>
    <row r="151" spans="1:16" x14ac:dyDescent="0.25">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I151*(1+$P$151)</f>
        <v>-42.62</v>
      </c>
      <c r="K151" s="70">
        <f t="shared" ref="K151:N151" si="463">J151*(1+$P$151)</f>
        <v>-43.4724</v>
      </c>
      <c r="L151" s="70">
        <f t="shared" si="463"/>
        <v>-44.341847999999999</v>
      </c>
      <c r="M151" s="70">
        <f t="shared" si="463"/>
        <v>-45.228684960000002</v>
      </c>
      <c r="N151" s="70">
        <f t="shared" si="463"/>
        <v>-46.133258659200003</v>
      </c>
      <c r="O151" s="137"/>
      <c r="P151" s="84">
        <v>0.02</v>
      </c>
    </row>
    <row r="152" spans="1:16"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c r="P152" s="69"/>
    </row>
    <row r="153" spans="1:16" x14ac:dyDescent="0.25">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138"/>
      <c r="P153" s="71"/>
    </row>
    <row r="154" spans="1:16" x14ac:dyDescent="0.25">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I154*(1+$P$154)</f>
        <v>2.2199999999999998</v>
      </c>
      <c r="K154" s="70">
        <f t="shared" ref="K154:N154" si="478">J154*(1+$P$154)</f>
        <v>2.2643999999999997</v>
      </c>
      <c r="L154" s="70">
        <f t="shared" si="478"/>
        <v>2.309688</v>
      </c>
      <c r="M154" s="70">
        <f t="shared" si="478"/>
        <v>2.3558817599999999</v>
      </c>
      <c r="N154" s="70">
        <f t="shared" si="478"/>
        <v>2.4029993952000002</v>
      </c>
      <c r="O154" s="137"/>
      <c r="P154" s="70">
        <v>0.02</v>
      </c>
    </row>
    <row r="155" spans="1:16"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c r="O155" s="142"/>
      <c r="P155" t="s">
        <v>227</v>
      </c>
    </row>
    <row r="156" spans="1:16" x14ac:dyDescent="0.25">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138"/>
      <c r="P156" s="83"/>
    </row>
    <row r="157" spans="1:16" x14ac:dyDescent="0.25">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I157*(1+$P$157)</f>
        <v>7.8900000000000006</v>
      </c>
      <c r="K157" s="70">
        <f t="shared" ref="K157:N157" si="487">J157*(1+$P$157)</f>
        <v>8.0478000000000005</v>
      </c>
      <c r="L157" s="70">
        <f t="shared" si="487"/>
        <v>8.2087560000000011</v>
      </c>
      <c r="M157" s="70">
        <f t="shared" si="487"/>
        <v>8.3729311200000005</v>
      </c>
      <c r="N157" s="70">
        <f t="shared" si="487"/>
        <v>8.5403897424000004</v>
      </c>
      <c r="O157" s="137"/>
      <c r="P157" s="74">
        <v>0.02</v>
      </c>
    </row>
    <row r="158" spans="1:16" x14ac:dyDescent="0.25">
      <c r="A158" s="41" t="str">
        <f>Historicals!A127</f>
        <v>Converse</v>
      </c>
      <c r="B158" s="41"/>
      <c r="C158" s="41"/>
      <c r="D158" s="41"/>
      <c r="E158" s="41"/>
      <c r="F158" s="41"/>
      <c r="G158" s="41"/>
      <c r="H158" s="41"/>
      <c r="I158" s="41"/>
      <c r="J158" s="73"/>
      <c r="K158" s="73"/>
      <c r="L158" s="73"/>
      <c r="M158" s="73"/>
      <c r="N158" s="73"/>
      <c r="O158" s="140"/>
      <c r="P158" s="73"/>
    </row>
    <row r="159" spans="1:16"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c r="O159" s="69"/>
      <c r="P159" t="s">
        <v>236</v>
      </c>
    </row>
    <row r="160" spans="1:16" x14ac:dyDescent="0.25">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138"/>
      <c r="P160" s="71"/>
    </row>
    <row r="161" spans="1:16"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c r="P161" s="69"/>
    </row>
    <row r="162" spans="1:16" x14ac:dyDescent="0.25">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c r="O162" s="138"/>
      <c r="P162" t="s">
        <v>236</v>
      </c>
    </row>
    <row r="163" spans="1:16"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AVERAGE(G163:I163)*(1+$P$163)</f>
        <v>7.5533333333333341E-2</v>
      </c>
      <c r="K163" s="82">
        <f t="shared" ref="K163:N163" si="509">AVERAGE(H163:J163)*(1+$P$163)</f>
        <v>0.10489977777777779</v>
      </c>
      <c r="L163" s="82">
        <f t="shared" si="509"/>
        <v>8.5982034814814826E-2</v>
      </c>
      <c r="M163" s="82">
        <f t="shared" si="509"/>
        <v>9.1469200101234577E-2</v>
      </c>
      <c r="N163" s="82">
        <f t="shared" si="509"/>
        <v>9.6940514358214019E-2</v>
      </c>
      <c r="O163" s="139"/>
      <c r="P163" s="82">
        <v>0.03</v>
      </c>
    </row>
    <row r="164" spans="1:16" x14ac:dyDescent="0.25">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139"/>
      <c r="P164" s="62"/>
    </row>
    <row r="165" spans="1:16"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c r="P165" s="69"/>
    </row>
    <row r="166" spans="1:16" x14ac:dyDescent="0.25">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c r="O166" s="138"/>
      <c r="P166" t="s">
        <v>236</v>
      </c>
    </row>
    <row r="167" spans="1:16"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AVERAGE(G167:I167)*(1+$P$167)</f>
        <v>-4.0800000000000003E-2</v>
      </c>
      <c r="K167" s="82">
        <f t="shared" ref="K167:N167" si="520">AVERAGE(H167:J167)*(1+$P$167)</f>
        <v>2.0128000000000004E-2</v>
      </c>
      <c r="L167" s="82">
        <f t="shared" si="520"/>
        <v>-1.7228479999999997E-2</v>
      </c>
      <c r="M167" s="82">
        <f t="shared" si="520"/>
        <v>-1.2886163200000002E-2</v>
      </c>
      <c r="N167" s="82">
        <f t="shared" si="520"/>
        <v>-3.3954586879999986E-3</v>
      </c>
      <c r="O167" s="139"/>
      <c r="P167" s="82">
        <v>0.02</v>
      </c>
    </row>
    <row r="168" spans="1:16" x14ac:dyDescent="0.25">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139"/>
      <c r="P168" s="82"/>
    </row>
    <row r="169" spans="1:16"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c r="P169" s="69"/>
    </row>
    <row r="170" spans="1:16" x14ac:dyDescent="0.25">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c r="O170" s="138"/>
      <c r="P170" t="s">
        <v>236</v>
      </c>
    </row>
    <row r="171" spans="1:16"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AVERAGE(G171:I171)*(1+$P$171)</f>
        <v>2.0600000000000007E-2</v>
      </c>
      <c r="K171" s="82">
        <f t="shared" ref="K171:N171" si="531">AVERAGE(H171:J171)*(1+$P$171)</f>
        <v>2.060000000000059E-4</v>
      </c>
      <c r="L171" s="82">
        <f t="shared" si="531"/>
        <v>-4.7789939999999996E-2</v>
      </c>
      <c r="M171" s="82">
        <f t="shared" si="531"/>
        <v>-9.2644860666666606E-3</v>
      </c>
      <c r="N171" s="82">
        <f t="shared" si="531"/>
        <v>-1.9517959616222217E-2</v>
      </c>
      <c r="O171" s="139"/>
      <c r="P171" s="82">
        <v>0.03</v>
      </c>
    </row>
    <row r="172" spans="1:16" x14ac:dyDescent="0.25">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139"/>
      <c r="P172" s="82"/>
    </row>
    <row r="173" spans="1:16"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c r="P173" s="69"/>
    </row>
    <row r="174" spans="1:16" x14ac:dyDescent="0.25">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138"/>
      <c r="P174" s="71"/>
    </row>
    <row r="175" spans="1:16" x14ac:dyDescent="0.25">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AVERAGE(G175:I175)*(1+$P$175)</f>
        <v>0.24476508122575319</v>
      </c>
      <c r="K175" s="82">
        <f t="shared" ref="K175:N175" si="547">AVERAGE(H175:J175)*(1+$P$175)</f>
        <v>0.2684441536963505</v>
      </c>
      <c r="L175" s="82">
        <f t="shared" si="547"/>
        <v>0.27194355694494571</v>
      </c>
      <c r="M175" s="82">
        <f t="shared" si="547"/>
        <v>0.26433477326190663</v>
      </c>
      <c r="N175" s="82">
        <f t="shared" si="547"/>
        <v>0.2709232362474116</v>
      </c>
      <c r="O175" s="139"/>
      <c r="P175" s="70">
        <v>0.01</v>
      </c>
    </row>
    <row r="176" spans="1:16"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c r="P176" s="69"/>
    </row>
    <row r="177" spans="1:16" x14ac:dyDescent="0.25">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138"/>
      <c r="P177" s="83"/>
    </row>
    <row r="178" spans="1:16" x14ac:dyDescent="0.25">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AVERAGE(G178:I178)*(1+$P$178)</f>
        <v>1.1686320329210922E-2</v>
      </c>
      <c r="K178" s="82">
        <f t="shared" ref="K178:N178" si="562">AVERAGE(H178:J178)*(1+$P$178)</f>
        <v>1.1061307111623453E-2</v>
      </c>
      <c r="L178" s="82">
        <f t="shared" si="562"/>
        <v>1.0815514821818617E-2</v>
      </c>
      <c r="M178" s="82">
        <f t="shared" si="562"/>
        <v>1.1299591228426508E-2</v>
      </c>
      <c r="N178" s="82">
        <f t="shared" si="562"/>
        <v>1.116939243116242E-2</v>
      </c>
      <c r="O178" s="139"/>
      <c r="P178" s="70">
        <v>0.01</v>
      </c>
    </row>
    <row r="179" spans="1:16" x14ac:dyDescent="0.25">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c r="P179" s="123"/>
    </row>
    <row r="180" spans="1:16" x14ac:dyDescent="0.25">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138"/>
      <c r="P180" s="71"/>
    </row>
    <row r="181" spans="1:16" x14ac:dyDescent="0.25">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AVERAGE(G181:I181)*(1+$P$181)</f>
        <v>0.23307876089654231</v>
      </c>
      <c r="K181" s="82">
        <f t="shared" ref="K181:N181" si="577">AVERAGE(H181:J181)*(1+$P$181)</f>
        <v>0.25738284658472704</v>
      </c>
      <c r="L181" s="82">
        <f t="shared" si="577"/>
        <v>0.26112804212312712</v>
      </c>
      <c r="M181" s="82">
        <f t="shared" si="577"/>
        <v>0.25303518203348013</v>
      </c>
      <c r="N181" s="82">
        <f t="shared" si="577"/>
        <v>0.25975384381624922</v>
      </c>
      <c r="O181" s="139"/>
      <c r="P181" s="70">
        <v>0.01</v>
      </c>
    </row>
    <row r="182" spans="1:16"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c r="P182" s="69"/>
    </row>
    <row r="183" spans="1:16" x14ac:dyDescent="0.25">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138"/>
      <c r="P183" s="83"/>
    </row>
    <row r="184" spans="1:16" x14ac:dyDescent="0.25">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I184*(1+$P$184)</f>
        <v>3.874680306905371E-3</v>
      </c>
      <c r="K184" s="82">
        <f t="shared" ref="K184:N184" si="592">J184*(1+$P$184)</f>
        <v>3.9134271099744251E-3</v>
      </c>
      <c r="L184" s="82">
        <f t="shared" si="592"/>
        <v>3.952561381074169E-3</v>
      </c>
      <c r="M184" s="82">
        <f t="shared" si="592"/>
        <v>3.9920869948849112E-3</v>
      </c>
      <c r="N184" s="82">
        <f t="shared" si="592"/>
        <v>4.0320078648337599E-3</v>
      </c>
      <c r="O184" s="139"/>
      <c r="P184" s="84">
        <v>0.01</v>
      </c>
    </row>
    <row r="185" spans="1:16"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42"/>
      <c r="P185" s="124"/>
    </row>
    <row r="186" spans="1:16" x14ac:dyDescent="0.25">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138"/>
      <c r="P186" s="71"/>
    </row>
    <row r="187" spans="1:16" x14ac:dyDescent="0.25">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I187*(1+$P$187)</f>
        <v>2.1513213981244672E-2</v>
      </c>
      <c r="K187" s="82">
        <f t="shared" ref="K187:N187" si="601">J187*(1+$P$187)</f>
        <v>2.2158610400682014E-2</v>
      </c>
      <c r="L187" s="82">
        <f t="shared" si="601"/>
        <v>2.2823368712702474E-2</v>
      </c>
      <c r="M187" s="82">
        <f t="shared" si="601"/>
        <v>2.3508069774083547E-2</v>
      </c>
      <c r="N187" s="82">
        <f t="shared" si="601"/>
        <v>2.4213311867306055E-2</v>
      </c>
      <c r="O187" s="139"/>
      <c r="P187" s="74">
        <v>0.03</v>
      </c>
    </row>
    <row r="188" spans="1:16"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c r="P188" s="79"/>
    </row>
    <row r="189" spans="1:16" x14ac:dyDescent="0.25">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I189*(1+$P$189)</f>
        <v>0.36569767441860462</v>
      </c>
      <c r="K189" s="82">
        <f t="shared" ref="K189:N189" si="604">J189*(1+$P$189)</f>
        <v>0.31084302325581392</v>
      </c>
      <c r="L189" s="82">
        <f t="shared" si="604"/>
        <v>0.26421656976744184</v>
      </c>
      <c r="M189" s="82">
        <f t="shared" si="604"/>
        <v>0.22458408430232557</v>
      </c>
      <c r="N189" s="82">
        <f t="shared" si="604"/>
        <v>0.19089647165697674</v>
      </c>
      <c r="O189" s="139"/>
      <c r="P189" s="87">
        <v>-0.15</v>
      </c>
    </row>
    <row r="190" spans="1:16" x14ac:dyDescent="0.25">
      <c r="A190" s="65"/>
      <c r="B190" s="59"/>
      <c r="C190" s="59"/>
      <c r="D190" s="59"/>
      <c r="E190" s="59"/>
      <c r="F190" s="59"/>
      <c r="G190" s="59"/>
      <c r="H190" s="59"/>
      <c r="I190" s="59"/>
      <c r="J190" s="74"/>
      <c r="K190" s="74"/>
      <c r="L190" s="74"/>
      <c r="M190" s="74"/>
      <c r="N190" s="74"/>
      <c r="O190" s="74"/>
      <c r="P190" s="74"/>
    </row>
    <row r="191" spans="1:16" x14ac:dyDescent="0.25">
      <c r="A191" s="41" t="str">
        <f>Historicals!A176</f>
        <v>Corporate</v>
      </c>
      <c r="B191" s="41"/>
      <c r="C191" s="41"/>
      <c r="D191" s="41"/>
      <c r="E191" s="41"/>
      <c r="F191" s="41"/>
      <c r="G191" s="41"/>
      <c r="H191" s="41"/>
      <c r="I191" s="41"/>
      <c r="J191" s="73"/>
      <c r="K191" s="73"/>
      <c r="L191" s="73"/>
      <c r="M191" s="73"/>
      <c r="N191" s="73"/>
      <c r="O191" s="140"/>
      <c r="P191" s="73"/>
    </row>
    <row r="192" spans="1:16" x14ac:dyDescent="0.25">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c r="O192" s="89"/>
      <c r="P192" t="s">
        <v>226</v>
      </c>
    </row>
    <row r="193" spans="1:16" x14ac:dyDescent="0.25">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AVERAGE(C193:I193)*(1+$P$194)</f>
        <v>-1.4703553359802286</v>
      </c>
      <c r="K193" s="71">
        <f>AVERAGE(D193:J193)*(1+$P$194)</f>
        <v>-1.6808641572761647</v>
      </c>
      <c r="L193" s="71">
        <f>AVERAGE(E193:K193)*(1+$P$194)</f>
        <v>-1.6543653001332703</v>
      </c>
      <c r="M193" s="71">
        <f>AVERAGE(F193:L193)*(1+$P$194)</f>
        <v>-1.7930797298184047</v>
      </c>
      <c r="N193" s="71">
        <f>AVERAGE(G193:M193)*(1+$P$194)</f>
        <v>-1.8656702286426914</v>
      </c>
      <c r="O193" s="138"/>
    </row>
    <row r="194" spans="1:16"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I194*(1+$P$194)</f>
        <v>0</v>
      </c>
      <c r="K194" s="82">
        <f>J194*(1+$P$194)</f>
        <v>0</v>
      </c>
      <c r="L194" s="82">
        <f>K194*(1+$P$194)</f>
        <v>0</v>
      </c>
      <c r="M194" s="82">
        <f>L194*(1+$P$194)</f>
        <v>0</v>
      </c>
      <c r="N194" s="82">
        <f>M194*(1+$P$194)</f>
        <v>0</v>
      </c>
      <c r="O194" s="139"/>
      <c r="P194" s="82">
        <v>-0.03</v>
      </c>
    </row>
    <row r="195" spans="1:16" x14ac:dyDescent="0.25">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139"/>
      <c r="P195" s="62"/>
    </row>
    <row r="196" spans="1:16" x14ac:dyDescent="0.25">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t="s">
        <v>249</v>
      </c>
      <c r="P196" s="81"/>
    </row>
    <row r="197" spans="1:16" x14ac:dyDescent="0.25">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AVERAGE(B197:I197)*(1+$P$197)</f>
        <v>-1.7902001697702126E-2</v>
      </c>
      <c r="K197" s="88">
        <f>AVERAGE(C197:J197)*(1+$P$197)</f>
        <v>-1.5440476464268086E-2</v>
      </c>
      <c r="L197" s="88">
        <f>AVERAGE(D197:K197)*(1+$P$197)</f>
        <v>-1.4427998884198585E-2</v>
      </c>
      <c r="M197" s="88">
        <f>AVERAGE(E197:L197)*(1+$P$197)</f>
        <v>-1.9481808677760431E-2</v>
      </c>
      <c r="N197" s="88">
        <f>AVERAGE(F197:M197)*(1+$P$197)</f>
        <v>-5.1585072383247511E-3</v>
      </c>
      <c r="O197" s="144"/>
      <c r="P197" s="70">
        <v>-1.1000000000000001</v>
      </c>
    </row>
    <row r="198" spans="1:16" x14ac:dyDescent="0.25">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c r="O198" s="145"/>
    </row>
    <row r="199" spans="1:16" x14ac:dyDescent="0.25">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c r="P199" s="81"/>
    </row>
    <row r="200" spans="1:16" x14ac:dyDescent="0.25">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AVERAGE(B200:I200)*(1+$P$200)</f>
        <v>-9.1638631343851015E-3</v>
      </c>
      <c r="K200" s="88">
        <f t="shared" ref="K200:N200" si="633">AVERAGE(C200:J200)*(1+$P$197)</f>
        <v>-7.9038319534071484E-3</v>
      </c>
      <c r="L200" s="88">
        <f t="shared" si="633"/>
        <v>-6.3050340539895595E-3</v>
      </c>
      <c r="M200" s="88">
        <f t="shared" si="633"/>
        <v>-5.1845544616480202E-3</v>
      </c>
      <c r="N200" s="88">
        <f t="shared" si="633"/>
        <v>-2.5098574209873083E-3</v>
      </c>
      <c r="O200" s="144"/>
      <c r="P200" s="84">
        <v>-1.1000000000000001</v>
      </c>
    </row>
    <row r="201" spans="1:16" x14ac:dyDescent="0.25">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145"/>
      <c r="P201" s="84"/>
    </row>
    <row r="202" spans="1:16" x14ac:dyDescent="0.25">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c r="P202" s="81"/>
    </row>
    <row r="203" spans="1:16" x14ac:dyDescent="0.25">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AVERAGE(B203:I203)*(1+$P$203)</f>
        <v>-1.6547327423854528E-2</v>
      </c>
      <c r="K203" s="88">
        <f t="shared" ref="K203:N203" si="644">AVERAGE(C203:J203)*(1+$P$203)</f>
        <v>-1.4272069903074528E-2</v>
      </c>
      <c r="L203" s="88">
        <f t="shared" si="644"/>
        <v>-1.3227670852440155E-2</v>
      </c>
      <c r="M203" s="88">
        <f t="shared" si="644"/>
        <v>-1.784706494973436E-2</v>
      </c>
      <c r="N203" s="88">
        <f t="shared" si="644"/>
        <v>-4.9858550909013411E-3</v>
      </c>
      <c r="O203" s="144"/>
      <c r="P203" s="84">
        <v>-1.1000000000000001</v>
      </c>
    </row>
    <row r="204" spans="1:16" x14ac:dyDescent="0.25">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c r="O204" s="145"/>
    </row>
    <row r="205" spans="1:16" x14ac:dyDescent="0.25">
      <c r="A205" s="9" t="s">
        <v>135</v>
      </c>
      <c r="B205" s="13">
        <f>-SUM(B44,B74,B104,B134,B152,B182)+B14</f>
        <v>104</v>
      </c>
      <c r="C205" s="13">
        <f t="shared" ref="C205:I205" si="646">-SUM(C44,C74,C104,C134,C152,C182)+C14</f>
        <v>264</v>
      </c>
      <c r="D205" s="13">
        <f t="shared" si="646"/>
        <v>291</v>
      </c>
      <c r="E205" s="13">
        <f t="shared" si="646"/>
        <v>159</v>
      </c>
      <c r="F205" s="13">
        <f t="shared" si="646"/>
        <v>377</v>
      </c>
      <c r="G205" s="13">
        <f t="shared" si="646"/>
        <v>318</v>
      </c>
      <c r="H205" s="13">
        <f t="shared" si="646"/>
        <v>11</v>
      </c>
      <c r="I205" s="13">
        <f t="shared" si="646"/>
        <v>50</v>
      </c>
      <c r="J205" s="81">
        <f>I205*(1+J206)</f>
        <v>79.554826256589337</v>
      </c>
      <c r="K205" s="81">
        <f t="shared" ref="K205:N205" si="647">J205*(1+K206)</f>
        <v>133.25523112732674</v>
      </c>
      <c r="L205" s="81">
        <f t="shared" si="647"/>
        <v>249.02172974761925</v>
      </c>
      <c r="M205" s="81">
        <f t="shared" si="647"/>
        <v>443.88807608725091</v>
      </c>
      <c r="N205" s="81">
        <f t="shared" si="647"/>
        <v>862.7972243932694</v>
      </c>
      <c r="O205" s="81"/>
      <c r="P205" s="81"/>
    </row>
    <row r="206" spans="1:16" x14ac:dyDescent="0.25">
      <c r="A206" s="44" t="s">
        <v>129</v>
      </c>
      <c r="B206" s="60" t="str">
        <f>IFERROR((B205-A205)/A205,"nm")</f>
        <v>nm</v>
      </c>
      <c r="C206" s="60">
        <f t="shared" ref="C206" si="648">IFERROR((C205-B205)/B205,"nm")</f>
        <v>1.5384615384615385</v>
      </c>
      <c r="D206" s="60">
        <f t="shared" ref="D206" si="649">IFERROR((D205-C205)/C205,"nm")</f>
        <v>0.10227272727272728</v>
      </c>
      <c r="E206" s="60">
        <f t="shared" ref="E206" si="650">IFERROR((E205-D205)/D205,"nm")</f>
        <v>-0.45360824742268041</v>
      </c>
      <c r="F206" s="60">
        <f t="shared" ref="F206" si="651">IFERROR((F205-E205)/E205,"nm")</f>
        <v>1.371069182389937</v>
      </c>
      <c r="G206" s="60">
        <f t="shared" ref="G206" si="652">IFERROR((G205-F205)/F205,"nm")</f>
        <v>-0.15649867374005305</v>
      </c>
      <c r="H206" s="60">
        <f t="shared" ref="H206" si="653">IFERROR((H205-G205)/G205,"nm")</f>
        <v>-0.96540880503144655</v>
      </c>
      <c r="I206" s="60">
        <f t="shared" ref="I206" si="654">IFERROR((I205-H205)/H205,"nm")</f>
        <v>3.5454545454545454</v>
      </c>
      <c r="J206" s="88">
        <f>AVERAGE(D206:I206)*(1+$P$206)</f>
        <v>0.59109652513178679</v>
      </c>
      <c r="K206" s="88">
        <f t="shared" ref="K206:N206" si="655">AVERAGE(E206:J206)*(1+$P$206)</f>
        <v>0.67501127709759201</v>
      </c>
      <c r="L206" s="88">
        <f t="shared" si="655"/>
        <v>0.86875762880690544</v>
      </c>
      <c r="M206" s="88">
        <f t="shared" si="655"/>
        <v>0.78252747877515172</v>
      </c>
      <c r="N206" s="88">
        <f t="shared" si="655"/>
        <v>0.94372696829026192</v>
      </c>
      <c r="O206" s="144"/>
      <c r="P206" s="84">
        <v>0.03</v>
      </c>
    </row>
    <row r="207" spans="1:16" x14ac:dyDescent="0.25">
      <c r="A207" s="44" t="s">
        <v>133</v>
      </c>
      <c r="B207" s="61">
        <f>IFERROR(B205/B192, "N/A")</f>
        <v>-1.2682926829268293</v>
      </c>
      <c r="C207" s="61">
        <f t="shared" ref="C207:N207" si="656">IFERROR(C205/C192, "N/A")</f>
        <v>-3.0697674418604652</v>
      </c>
      <c r="D207" s="61">
        <f t="shared" si="656"/>
        <v>3.88</v>
      </c>
      <c r="E207" s="61">
        <f t="shared" si="656"/>
        <v>6.115384615384615</v>
      </c>
      <c r="F207" s="61">
        <f t="shared" si="656"/>
        <v>-53.857142857142854</v>
      </c>
      <c r="G207" s="61">
        <f t="shared" si="656"/>
        <v>-28.90909090909091</v>
      </c>
      <c r="H207" s="61">
        <f t="shared" si="656"/>
        <v>0.27500000000000002</v>
      </c>
      <c r="I207" s="61">
        <f t="shared" si="656"/>
        <v>-0.69444444444444442</v>
      </c>
      <c r="J207" s="61">
        <f t="shared" si="656"/>
        <v>2.3491349155207106</v>
      </c>
      <c r="K207" s="61">
        <f t="shared" si="656"/>
        <v>-5.7791667146386256</v>
      </c>
      <c r="L207" s="61">
        <f t="shared" si="656"/>
        <v>16.504331577374799</v>
      </c>
      <c r="M207" s="61">
        <f t="shared" si="656"/>
        <v>-37.095166411860419</v>
      </c>
      <c r="N207" s="61">
        <f t="shared" si="656"/>
        <v>83.291388524473504</v>
      </c>
      <c r="O207" s="145"/>
      <c r="P207" s="84"/>
    </row>
    <row r="208" spans="1:16" x14ac:dyDescent="0.25">
      <c r="A208" s="66" t="s">
        <v>146</v>
      </c>
      <c r="B208" s="13">
        <f>-SUM(B47,B77,B107,B137,B155,B185)+B17</f>
        <v>713</v>
      </c>
      <c r="C208" s="13">
        <f t="shared" ref="C208:I208" si="657">-SUM(C47,C77,C107,C137,C155,C185)+C17</f>
        <v>937</v>
      </c>
      <c r="D208" s="13">
        <f t="shared" si="657"/>
        <v>1238</v>
      </c>
      <c r="E208" s="13">
        <f t="shared" si="657"/>
        <v>1450</v>
      </c>
      <c r="F208" s="13">
        <f t="shared" si="657"/>
        <v>1673</v>
      </c>
      <c r="G208" s="13">
        <f t="shared" si="657"/>
        <v>1916</v>
      </c>
      <c r="H208" s="13">
        <f t="shared" si="657"/>
        <v>1870</v>
      </c>
      <c r="I208" s="13">
        <f t="shared" si="657"/>
        <v>1817</v>
      </c>
      <c r="J208" s="81">
        <f>I208*(1+J209)</f>
        <v>1763.9572032085562</v>
      </c>
      <c r="K208" s="81">
        <f t="shared" ref="K208:N208" si="658">J208*(1+K209)</f>
        <v>1710.9180286444653</v>
      </c>
      <c r="L208" s="81">
        <f t="shared" si="658"/>
        <v>1657.9303199768776</v>
      </c>
      <c r="M208" s="81">
        <f t="shared" si="658"/>
        <v>1605.0432586830248</v>
      </c>
      <c r="N208" s="81">
        <f t="shared" si="658"/>
        <v>1552.3072656296426</v>
      </c>
      <c r="O208" s="80"/>
      <c r="P208" s="80"/>
    </row>
    <row r="209" spans="1:16" x14ac:dyDescent="0.25">
      <c r="A209" s="65" t="s">
        <v>129</v>
      </c>
      <c r="B209" s="60" t="str">
        <f>IFERROR((B208-A208)/A208,"nm")</f>
        <v>nm</v>
      </c>
      <c r="C209" s="60">
        <f t="shared" ref="C209:I209" si="659">IFERROR((C208-B208)/B208,"nm")</f>
        <v>0.31416549789621318</v>
      </c>
      <c r="D209" s="60">
        <f t="shared" si="659"/>
        <v>0.32123799359658484</v>
      </c>
      <c r="E209" s="60">
        <f t="shared" si="659"/>
        <v>0.17124394184168013</v>
      </c>
      <c r="F209" s="60">
        <f t="shared" si="659"/>
        <v>0.15379310344827588</v>
      </c>
      <c r="G209" s="60">
        <f t="shared" si="659"/>
        <v>0.1452480573819486</v>
      </c>
      <c r="H209" s="60">
        <f t="shared" si="659"/>
        <v>-2.4008350730688934E-2</v>
      </c>
      <c r="I209" s="60">
        <f t="shared" si="659"/>
        <v>-2.8342245989304814E-2</v>
      </c>
      <c r="J209" s="88">
        <f>I209*(1+$P$209)</f>
        <v>-2.9192513368983958E-2</v>
      </c>
      <c r="K209" s="88">
        <f t="shared" ref="K209:N209" si="660">J209*(1+$P$206)</f>
        <v>-3.0068288770053478E-2</v>
      </c>
      <c r="L209" s="88">
        <f t="shared" si="660"/>
        <v>-3.0970337433155082E-2</v>
      </c>
      <c r="M209" s="88">
        <f t="shared" si="660"/>
        <v>-3.1899447556149735E-2</v>
      </c>
      <c r="N209" s="88">
        <f t="shared" si="660"/>
        <v>-3.285643098283423E-2</v>
      </c>
      <c r="O209" s="144"/>
      <c r="P209" s="88">
        <v>0.03</v>
      </c>
    </row>
    <row r="210" spans="1:16" x14ac:dyDescent="0.25">
      <c r="A210" s="65" t="s">
        <v>133</v>
      </c>
      <c r="B210" s="61">
        <f>IFERROR(B208/B192, "N/A")</f>
        <v>-8.6951219512195124</v>
      </c>
      <c r="C210" s="61">
        <f t="shared" ref="C210:N210" si="661">IFERROR(C208/C192, "N/A")</f>
        <v>-10.895348837209303</v>
      </c>
      <c r="D210" s="61">
        <f t="shared" si="661"/>
        <v>16.506666666666668</v>
      </c>
      <c r="E210" s="61">
        <f t="shared" si="661"/>
        <v>55.769230769230766</v>
      </c>
      <c r="F210" s="61">
        <f t="shared" si="661"/>
        <v>-239</v>
      </c>
      <c r="G210" s="61">
        <f t="shared" si="661"/>
        <v>-174.18181818181819</v>
      </c>
      <c r="H210" s="61">
        <f t="shared" si="661"/>
        <v>46.75</v>
      </c>
      <c r="I210" s="61">
        <f t="shared" si="661"/>
        <v>-25.236111111111111</v>
      </c>
      <c r="J210" s="61">
        <f t="shared" si="661"/>
        <v>52.087015339289508</v>
      </c>
      <c r="K210" s="61">
        <f t="shared" si="661"/>
        <v>-74.2010684231184</v>
      </c>
      <c r="L210" s="61">
        <f t="shared" si="661"/>
        <v>109.88210450876562</v>
      </c>
      <c r="M210" s="61">
        <f t="shared" si="661"/>
        <v>-134.13143985282102</v>
      </c>
      <c r="N210" s="61">
        <f t="shared" si="661"/>
        <v>149.85424606789019</v>
      </c>
      <c r="O210" s="145"/>
    </row>
    <row r="212" spans="1:16" x14ac:dyDescent="0.25">
      <c r="B212" s="77"/>
    </row>
    <row r="213" spans="1:16"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topLeftCell="A12" zoomScale="90" zoomScaleNormal="90" workbookViewId="0">
      <selection activeCell="J19" sqref="J19"/>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0.42578125" bestFit="1" customWidth="1"/>
    <col min="15" max="15" width="36.7109375" customWidth="1"/>
  </cols>
  <sheetData>
    <row r="1" spans="1:15" ht="66" customHeight="1" x14ac:dyDescent="0.2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row>
    <row r="2" spans="1:15" x14ac:dyDescent="0.25">
      <c r="A2" s="92" t="s">
        <v>147</v>
      </c>
      <c r="B2" s="92"/>
      <c r="C2" s="92"/>
      <c r="D2" s="92"/>
      <c r="E2" s="92"/>
      <c r="F2" s="92"/>
      <c r="G2" s="92"/>
      <c r="H2" s="92"/>
      <c r="I2" s="92"/>
      <c r="J2" s="37"/>
      <c r="K2" s="37"/>
      <c r="L2" s="37"/>
      <c r="M2" s="37"/>
      <c r="N2" s="37"/>
    </row>
    <row r="3" spans="1:15"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t="s">
        <v>212</v>
      </c>
    </row>
    <row r="4" spans="1:15"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row>
    <row r="5" spans="1:15"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row>
    <row r="6" spans="1:15"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row>
    <row r="7" spans="1:15"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row>
    <row r="8" spans="1:15"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row>
    <row r="9" spans="1:15"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9" t="s">
        <v>225</v>
      </c>
    </row>
    <row r="10" spans="1:15"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AVERAGE(B10:I10)</f>
        <v>95.625</v>
      </c>
      <c r="K10" s="126">
        <f>AVERAGE(C10:J10)</f>
        <v>104.078125</v>
      </c>
      <c r="L10" s="126">
        <f t="shared" ref="L10:N10" si="7">AVERAGE(D10:K10)</f>
        <v>114.712890625</v>
      </c>
      <c r="M10" s="126">
        <f t="shared" si="7"/>
        <v>121.677001953125</v>
      </c>
      <c r="N10" s="126">
        <f t="shared" si="7"/>
        <v>130.13662719726563</v>
      </c>
    </row>
    <row r="11" spans="1:15"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7025.493788703614</v>
      </c>
      <c r="K11" s="100">
        <f t="shared" si="8"/>
        <v>9062.4801289600891</v>
      </c>
      <c r="L11" s="100">
        <f t="shared" si="8"/>
        <v>11125.612393589014</v>
      </c>
      <c r="M11" s="100">
        <f t="shared" si="8"/>
        <v>13850.367099695573</v>
      </c>
      <c r="N11" s="100">
        <f t="shared" si="8"/>
        <v>16383.50431958742</v>
      </c>
    </row>
    <row r="12" spans="1:15"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1410.4710077385207</v>
      </c>
      <c r="K12" s="126">
        <f t="shared" ref="K12:N12" si="9">K11*K13</f>
        <v>1795.7771211420327</v>
      </c>
      <c r="L12" s="126">
        <f t="shared" si="9"/>
        <v>2220.5624276897488</v>
      </c>
      <c r="M12" s="126">
        <f t="shared" si="9"/>
        <v>2881.0437429791423</v>
      </c>
      <c r="N12" s="126">
        <f t="shared" si="9"/>
        <v>2701.3228090223711</v>
      </c>
    </row>
    <row r="13" spans="1:15"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AVERAGE(B13:I13)</f>
        <v>0.20076467934630246</v>
      </c>
      <c r="K13" s="84">
        <f t="shared" ref="K13:N13" si="11">AVERAGE(C13:J13)</f>
        <v>0.19815515130382927</v>
      </c>
      <c r="L13" s="84">
        <f t="shared" si="11"/>
        <v>0.19959013033469675</v>
      </c>
      <c r="M13" s="84">
        <f t="shared" si="11"/>
        <v>0.20801208532894891</v>
      </c>
      <c r="N13" s="84">
        <f t="shared" si="11"/>
        <v>0.16488064801818891</v>
      </c>
      <c r="O13" t="s">
        <v>224</v>
      </c>
    </row>
    <row r="14" spans="1:15"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5615.0227809650933</v>
      </c>
      <c r="K14" s="106">
        <f t="shared" si="12"/>
        <v>7266.703007818056</v>
      </c>
      <c r="L14" s="106">
        <f t="shared" si="12"/>
        <v>8905.0499658992649</v>
      </c>
      <c r="M14" s="106">
        <f t="shared" si="12"/>
        <v>10969.323356716432</v>
      </c>
      <c r="N14" s="106">
        <f t="shared" si="12"/>
        <v>13682.181510565049</v>
      </c>
    </row>
    <row r="15" spans="1:15"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AVERAGE(B15:I15)</f>
        <v>1661.5749999999998</v>
      </c>
      <c r="K15" s="128">
        <f t="shared" ref="K15:N15" si="13">AVERAGE(C15:J15)</f>
        <v>1648.171875</v>
      </c>
      <c r="L15" s="128">
        <f t="shared" si="13"/>
        <v>1636.380859375</v>
      </c>
      <c r="M15" s="128">
        <f t="shared" si="13"/>
        <v>1629.428466796875</v>
      </c>
      <c r="N15" s="128">
        <f t="shared" si="13"/>
        <v>1625.7195251464843</v>
      </c>
      <c r="O15" t="s">
        <v>213</v>
      </c>
    </row>
    <row r="16" spans="1:15"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AVERAGE(B16:I16)</f>
        <v>2.38625</v>
      </c>
      <c r="K16" s="134">
        <f t="shared" ref="K16:N16" si="14">AVERAGE(C16:J16)</f>
        <v>2.4532812500000003</v>
      </c>
      <c r="L16" s="134">
        <f t="shared" si="14"/>
        <v>2.4899414062499998</v>
      </c>
      <c r="M16" s="134">
        <f t="shared" si="14"/>
        <v>2.4874340820312502</v>
      </c>
      <c r="N16" s="134">
        <f t="shared" si="14"/>
        <v>2.6521133422851566</v>
      </c>
    </row>
    <row r="17" spans="1:15"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AVERAGE(B17:I17)</f>
        <v>0.80088915852346554</v>
      </c>
      <c r="K17" s="134">
        <f t="shared" ref="K17:N17" si="15">AVERAGE(C17:J17)</f>
        <v>0.83746853038548397</v>
      </c>
      <c r="L17" s="134">
        <f t="shared" si="15"/>
        <v>0.86883789295339686</v>
      </c>
      <c r="M17" s="134">
        <f t="shared" si="15"/>
        <v>0.89373991089644855</v>
      </c>
      <c r="N17" s="134">
        <f t="shared" si="15"/>
        <v>0.91180722797862379</v>
      </c>
    </row>
    <row r="18" spans="1:15"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-0.2977287661678833</v>
      </c>
      <c r="K18" s="60">
        <f t="shared" ref="K18" si="18">IFERROR((K17-J17)/J17,"nm")</f>
        <v>4.5673451154535361E-2</v>
      </c>
      <c r="L18" s="60">
        <f t="shared" ref="L18" si="19">IFERROR((L17-K17)/K17,"nm")</f>
        <v>3.7457362790066492E-2</v>
      </c>
      <c r="M18" s="60">
        <f t="shared" ref="M18" si="20">IFERROR((M17-L17)/L17,"nm")</f>
        <v>2.8661293602657588E-2</v>
      </c>
      <c r="N18" s="60">
        <f t="shared" ref="N18" si="21">IFERROR((N17-M17)/M17,"nm")</f>
        <v>2.021540815387014E-2</v>
      </c>
      <c r="O18" t="s">
        <v>214</v>
      </c>
    </row>
    <row r="19" spans="1:15" x14ac:dyDescent="0.25">
      <c r="A19" s="104" t="s">
        <v>155</v>
      </c>
      <c r="B19" s="96">
        <f>B17/B16</f>
        <v>0.2747319911499016</v>
      </c>
      <c r="C19" s="96">
        <f t="shared" ref="C19:N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96">
        <f t="shared" si="22"/>
        <v>0.3356266772230343</v>
      </c>
      <c r="K19" s="96">
        <f t="shared" si="22"/>
        <v>0.34136670240539435</v>
      </c>
      <c r="L19" s="96">
        <f t="shared" si="22"/>
        <v>0.34893909180855726</v>
      </c>
      <c r="M19" s="96">
        <f t="shared" si="22"/>
        <v>0.35930194787980729</v>
      </c>
      <c r="N19" s="96">
        <f t="shared" si="22"/>
        <v>0.34380401977578295</v>
      </c>
      <c r="O19" t="s">
        <v>214</v>
      </c>
    </row>
    <row r="20" spans="1:15" x14ac:dyDescent="0.25">
      <c r="A20" s="108" t="s">
        <v>156</v>
      </c>
      <c r="B20" s="92"/>
      <c r="C20" s="92"/>
      <c r="D20" s="92"/>
      <c r="E20" s="92"/>
      <c r="F20" s="92"/>
      <c r="G20" s="92"/>
      <c r="H20" s="92"/>
      <c r="I20" s="92"/>
      <c r="J20" s="129"/>
      <c r="K20" s="129"/>
      <c r="L20" s="129"/>
      <c r="M20" s="129"/>
      <c r="N20" s="129"/>
    </row>
    <row r="21" spans="1:15"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69">
        <f>I21*(1+J$4)</f>
        <v>9368.8734959456233</v>
      </c>
      <c r="K21" s="69">
        <f t="shared" ref="K21:N21" si="23">J21*(1+K$4)</f>
        <v>10198.720044244154</v>
      </c>
      <c r="L21" s="69">
        <f t="shared" si="23"/>
        <v>10745.221865187148</v>
      </c>
      <c r="M21" s="69">
        <f t="shared" si="23"/>
        <v>11284.341387622451</v>
      </c>
      <c r="N21" s="69">
        <f t="shared" si="23"/>
        <v>11837.756927468123</v>
      </c>
    </row>
    <row r="22" spans="1:15"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69">
        <f t="shared" ref="J22:N32" si="24">I22*(1+J$4)</f>
        <v>4833.0449583120471</v>
      </c>
      <c r="K22" s="69">
        <f t="shared" si="24"/>
        <v>5261.1311821427444</v>
      </c>
      <c r="L22" s="69">
        <f t="shared" si="24"/>
        <v>5543.0506542713738</v>
      </c>
      <c r="M22" s="69">
        <f t="shared" si="24"/>
        <v>5821.1618798057043</v>
      </c>
      <c r="N22" s="69">
        <f t="shared" si="24"/>
        <v>6106.6478761594954</v>
      </c>
    </row>
    <row r="23" spans="1:15"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69">
        <f t="shared" si="24"/>
        <v>10630.950576400159</v>
      </c>
      <c r="K23" s="69">
        <f t="shared" si="24"/>
        <v>11572.585410596146</v>
      </c>
      <c r="L23" s="69">
        <f t="shared" si="24"/>
        <v>12192.706266200812</v>
      </c>
      <c r="M23" s="69">
        <f t="shared" si="24"/>
        <v>12804.450356913789</v>
      </c>
      <c r="N23" s="69">
        <f t="shared" si="24"/>
        <v>13432.41627564</v>
      </c>
      <c r="O23" t="s">
        <v>215</v>
      </c>
    </row>
    <row r="24" spans="1:15" x14ac:dyDescent="0.25">
      <c r="A24" s="104" t="s">
        <v>160</v>
      </c>
      <c r="B24" s="96">
        <f>B23/B3</f>
        <v>0.18182412339466031</v>
      </c>
      <c r="C24" s="96">
        <f t="shared" ref="C24:N24" si="25">C23/C3</f>
        <v>0.1818631084754139</v>
      </c>
      <c r="D24" s="96">
        <f t="shared" si="25"/>
        <v>0.19458515283842795</v>
      </c>
      <c r="E24" s="96">
        <f t="shared" si="25"/>
        <v>0.17803665137236585</v>
      </c>
      <c r="F24" s="96">
        <f t="shared" si="25"/>
        <v>0.18615947030702765</v>
      </c>
      <c r="G24" s="96">
        <f t="shared" si="25"/>
        <v>0.21035745795791783</v>
      </c>
      <c r="H24" s="96">
        <f t="shared" si="25"/>
        <v>0.19042166240064665</v>
      </c>
      <c r="I24" s="96">
        <f t="shared" si="25"/>
        <v>0.20828516377649325</v>
      </c>
      <c r="J24" s="96">
        <f t="shared" si="25"/>
        <v>0.20828516377649323</v>
      </c>
      <c r="K24" s="96">
        <f t="shared" si="25"/>
        <v>0.20828516377649323</v>
      </c>
      <c r="L24" s="96">
        <f t="shared" si="25"/>
        <v>0.20828516377649323</v>
      </c>
      <c r="M24" s="96">
        <f t="shared" si="25"/>
        <v>0.2082851637764932</v>
      </c>
      <c r="N24" s="96">
        <f t="shared" si="25"/>
        <v>0.2082851637764932</v>
      </c>
    </row>
    <row r="25" spans="1:15"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69">
        <f t="shared" si="24"/>
        <v>2326.3741162664137</v>
      </c>
      <c r="K25" s="69">
        <f t="shared" si="24"/>
        <v>2532.4323506176584</v>
      </c>
      <c r="L25" s="69">
        <f t="shared" si="24"/>
        <v>2668.1335842061394</v>
      </c>
      <c r="M25" s="69">
        <f t="shared" si="24"/>
        <v>2802.0017278106134</v>
      </c>
      <c r="N25" s="69">
        <f t="shared" si="24"/>
        <v>2939.4196989246134</v>
      </c>
    </row>
    <row r="26" spans="1:15"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69">
        <f t="shared" si="24"/>
        <v>5235.1612921711549</v>
      </c>
      <c r="K26" s="69">
        <f t="shared" si="24"/>
        <v>5698.8649092574924</v>
      </c>
      <c r="L26" s="69">
        <f t="shared" si="24"/>
        <v>6004.2404893995372</v>
      </c>
      <c r="M26" s="69">
        <f t="shared" si="24"/>
        <v>6305.4909713201741</v>
      </c>
      <c r="N26" s="69">
        <f t="shared" si="24"/>
        <v>6614.7298156636098</v>
      </c>
    </row>
    <row r="27" spans="1:15"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69">
        <f t="shared" si="24"/>
        <v>312.51432468398042</v>
      </c>
      <c r="K27" s="69">
        <f t="shared" si="24"/>
        <v>340.19523357287471</v>
      </c>
      <c r="L27" s="69">
        <f t="shared" si="24"/>
        <v>358.42470882243111</v>
      </c>
      <c r="M27" s="69">
        <f t="shared" si="24"/>
        <v>376.40793525309323</v>
      </c>
      <c r="N27" s="69">
        <f t="shared" si="24"/>
        <v>394.86802907113173</v>
      </c>
    </row>
    <row r="28" spans="1:15"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69">
        <f t="shared" si="24"/>
        <v>310.32890982605051</v>
      </c>
      <c r="K28" s="69">
        <f t="shared" si="24"/>
        <v>337.81624592551196</v>
      </c>
      <c r="L28" s="69">
        <f t="shared" si="24"/>
        <v>355.91824232716937</v>
      </c>
      <c r="M28" s="69">
        <f t="shared" si="24"/>
        <v>373.77571192964501</v>
      </c>
      <c r="N28" s="69">
        <f t="shared" si="24"/>
        <v>392.10671418252241</v>
      </c>
    </row>
    <row r="29" spans="1:15"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69">
        <f t="shared" si="24"/>
        <v>3197.261937151492</v>
      </c>
      <c r="K29" s="69">
        <f t="shared" si="24"/>
        <v>3480.458928091718</v>
      </c>
      <c r="L29" s="69">
        <f t="shared" si="24"/>
        <v>3666.9604825679489</v>
      </c>
      <c r="M29" s="69">
        <f t="shared" si="24"/>
        <v>3850.9427222047225</v>
      </c>
      <c r="N29" s="69">
        <f t="shared" si="24"/>
        <v>4039.8036820354241</v>
      </c>
    </row>
    <row r="30" spans="1:15"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69">
        <f t="shared" si="24"/>
        <v>4175.2350860751367</v>
      </c>
      <c r="K30" s="69">
        <f t="shared" si="24"/>
        <v>4545.055900286553</v>
      </c>
      <c r="L30" s="69">
        <f t="shared" si="24"/>
        <v>4788.6042391975843</v>
      </c>
      <c r="M30" s="69">
        <f t="shared" si="24"/>
        <v>5028.8626594477937</v>
      </c>
      <c r="N30" s="69">
        <f t="shared" si="24"/>
        <v>5275.4920946880911</v>
      </c>
    </row>
    <row r="31" spans="1:15" ht="15.75" thickBot="1" x14ac:dyDescent="0.3">
      <c r="A31" s="105" t="s">
        <v>165</v>
      </c>
      <c r="B31" s="106">
        <f>+B21+B22+B23+B25+B26+B27+B28+B29+B30</f>
        <v>19466</v>
      </c>
      <c r="C31" s="106">
        <f t="shared" ref="C31:N31" si="26">+C21+C22+C23+C25+C26+C27+C28+C29+C30</f>
        <v>19205</v>
      </c>
      <c r="D31" s="106">
        <f t="shared" si="26"/>
        <v>21211</v>
      </c>
      <c r="E31" s="106">
        <f t="shared" si="26"/>
        <v>20257</v>
      </c>
      <c r="F31" s="106">
        <f t="shared" si="26"/>
        <v>21105</v>
      </c>
      <c r="G31" s="106">
        <f t="shared" si="26"/>
        <v>29094</v>
      </c>
      <c r="H31" s="106">
        <f t="shared" si="26"/>
        <v>34904</v>
      </c>
      <c r="I31" s="106">
        <f t="shared" si="26"/>
        <v>36963</v>
      </c>
      <c r="J31" s="106">
        <f t="shared" si="26"/>
        <v>40389.744696832066</v>
      </c>
      <c r="K31" s="106">
        <f t="shared" si="26"/>
        <v>43967.260204734863</v>
      </c>
      <c r="L31" s="106">
        <f t="shared" si="26"/>
        <v>46323.260532180146</v>
      </c>
      <c r="M31" s="106">
        <f t="shared" si="26"/>
        <v>48647.435352307977</v>
      </c>
      <c r="N31" s="106">
        <f t="shared" si="26"/>
        <v>51033.241113833014</v>
      </c>
    </row>
    <row r="32" spans="1:15" ht="15.75" thickTop="1" x14ac:dyDescent="0.25">
      <c r="A32" s="103" t="s">
        <v>166</v>
      </c>
      <c r="B32" s="102">
        <f>B33+B34</f>
        <v>181</v>
      </c>
      <c r="C32" s="102">
        <f t="shared" ref="C32:I32" si="27">C33+C34</f>
        <v>45</v>
      </c>
      <c r="D32" s="102">
        <f t="shared" si="27"/>
        <v>331</v>
      </c>
      <c r="E32" s="102">
        <f t="shared" si="27"/>
        <v>342</v>
      </c>
      <c r="F32" s="102">
        <f t="shared" si="27"/>
        <v>15</v>
      </c>
      <c r="G32" s="102">
        <f t="shared" si="27"/>
        <v>251</v>
      </c>
      <c r="H32" s="102">
        <f t="shared" si="27"/>
        <v>2</v>
      </c>
      <c r="I32" s="102">
        <f t="shared" si="27"/>
        <v>510</v>
      </c>
      <c r="J32" s="69">
        <f t="shared" si="24"/>
        <v>557.28078877213295</v>
      </c>
      <c r="K32" s="69">
        <f t="shared" ref="K32:N32" si="28">J32*(1+K$4)</f>
        <v>606.64185007750393</v>
      </c>
      <c r="L32" s="69">
        <f t="shared" si="28"/>
        <v>639.14895629174794</v>
      </c>
      <c r="M32" s="69">
        <f t="shared" si="28"/>
        <v>671.21694747929223</v>
      </c>
      <c r="N32" s="69">
        <f t="shared" si="28"/>
        <v>704.13529659537494</v>
      </c>
    </row>
    <row r="33" spans="1:15"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69">
        <f t="shared" ref="J33:N33" si="29">I33*(1+J$4)</f>
        <v>546.35371448248327</v>
      </c>
      <c r="K33" s="69">
        <f t="shared" si="29"/>
        <v>594.74691184069002</v>
      </c>
      <c r="L33" s="69">
        <f t="shared" si="29"/>
        <v>626.61662381543897</v>
      </c>
      <c r="M33" s="69">
        <f t="shared" si="29"/>
        <v>658.05583086205104</v>
      </c>
      <c r="N33" s="69">
        <f t="shared" si="29"/>
        <v>690.32872215232817</v>
      </c>
    </row>
    <row r="34" spans="1:15"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69">
        <f t="shared" ref="J34:N34" si="30">I34*(1+J$4)</f>
        <v>10.927074289649665</v>
      </c>
      <c r="K34" s="69">
        <f t="shared" si="30"/>
        <v>11.894938236813802</v>
      </c>
      <c r="L34" s="69">
        <f t="shared" si="30"/>
        <v>12.532332476308781</v>
      </c>
      <c r="M34" s="69">
        <f t="shared" si="30"/>
        <v>13.161116617241023</v>
      </c>
      <c r="N34" s="69">
        <f t="shared" si="30"/>
        <v>13.806574443046564</v>
      </c>
    </row>
    <row r="35" spans="1:15"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69">
        <f t="shared" ref="J35:N35" si="31">I35*(1+J$4)</f>
        <v>7498.1583775576</v>
      </c>
      <c r="K35" s="69">
        <f t="shared" si="31"/>
        <v>8162.3066181016302</v>
      </c>
      <c r="L35" s="69">
        <f t="shared" si="31"/>
        <v>8599.6865452430848</v>
      </c>
      <c r="M35" s="69">
        <f t="shared" si="31"/>
        <v>9031.1582227507879</v>
      </c>
      <c r="N35" s="69">
        <f t="shared" si="31"/>
        <v>9474.0713828185508</v>
      </c>
    </row>
    <row r="36" spans="1:15"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69">
        <f t="shared" ref="J36:N36" si="32">I36*(1+J$4)</f>
        <v>9746.9502663675012</v>
      </c>
      <c r="K36" s="69">
        <f t="shared" si="32"/>
        <v>10610.28490723791</v>
      </c>
      <c r="L36" s="69">
        <f t="shared" si="32"/>
        <v>11178.840568867432</v>
      </c>
      <c r="M36" s="69">
        <f t="shared" si="32"/>
        <v>11739.71602257899</v>
      </c>
      <c r="N36" s="69">
        <f t="shared" si="32"/>
        <v>12315.464403197533</v>
      </c>
    </row>
    <row r="37" spans="1:15"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69">
        <f t="shared" ref="J37:N37" si="33">I37*(1+J$4)</f>
        <v>3034.448530235712</v>
      </c>
      <c r="K37" s="69">
        <f t="shared" si="33"/>
        <v>3303.2243483631928</v>
      </c>
      <c r="L37" s="69">
        <f t="shared" si="33"/>
        <v>3480.2287286709484</v>
      </c>
      <c r="M37" s="69">
        <f t="shared" si="33"/>
        <v>3654.8420846078316</v>
      </c>
      <c r="N37" s="69">
        <f t="shared" si="33"/>
        <v>3834.0857228340305</v>
      </c>
    </row>
    <row r="38" spans="1:15"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69">
        <f t="shared" ref="J38:N38" si="34">I38*(1+J$4)</f>
        <v>2855.2445118854575</v>
      </c>
      <c r="K38" s="69">
        <f t="shared" si="34"/>
        <v>3108.1473612794462</v>
      </c>
      <c r="L38" s="69">
        <f t="shared" si="34"/>
        <v>3274.6984760594842</v>
      </c>
      <c r="M38" s="69">
        <f t="shared" si="34"/>
        <v>3438.9997720850788</v>
      </c>
      <c r="N38" s="69">
        <f t="shared" si="34"/>
        <v>3607.6579019680671</v>
      </c>
    </row>
    <row r="39" spans="1:15" x14ac:dyDescent="0.25">
      <c r="A39" s="103" t="s">
        <v>169</v>
      </c>
      <c r="B39" s="102"/>
      <c r="C39" s="102"/>
      <c r="D39" s="102"/>
      <c r="E39" s="102"/>
      <c r="F39" s="102"/>
      <c r="G39" s="102"/>
      <c r="H39" s="102"/>
      <c r="I39" s="102"/>
      <c r="J39" s="69"/>
      <c r="K39" s="69"/>
      <c r="L39" s="69"/>
      <c r="M39" s="69"/>
      <c r="N39" s="69"/>
    </row>
    <row r="40" spans="1:15"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69">
        <f t="shared" ref="J40:N40" si="35">I40*(1+J$4)</f>
        <v>3.2781222868948996</v>
      </c>
      <c r="K40" s="69">
        <f t="shared" si="35"/>
        <v>3.5684814710441404</v>
      </c>
      <c r="L40" s="69">
        <f t="shared" si="35"/>
        <v>3.759699742892634</v>
      </c>
      <c r="M40" s="69">
        <f t="shared" si="35"/>
        <v>3.9483349851723064</v>
      </c>
      <c r="N40" s="69">
        <f t="shared" si="35"/>
        <v>4.1419723329139693</v>
      </c>
    </row>
    <row r="41" spans="1:15"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69">
        <f t="shared" ref="J41:N41" si="36">I41*(1+J$4)</f>
        <v>3798.2510230822236</v>
      </c>
      <c r="K41" s="69">
        <f t="shared" si="36"/>
        <v>4134.6805311164771</v>
      </c>
      <c r="L41" s="69">
        <f t="shared" si="36"/>
        <v>4356.2387687649316</v>
      </c>
      <c r="M41" s="69">
        <f t="shared" si="36"/>
        <v>4574.8041361529786</v>
      </c>
      <c r="N41" s="69">
        <f t="shared" si="36"/>
        <v>4799.165276402985</v>
      </c>
    </row>
    <row r="42" spans="1:15"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69">
        <f t="shared" ref="J42:N42" si="37">I42*(1+J$4)</f>
        <v>12896.133076644535</v>
      </c>
      <c r="K42" s="69">
        <f t="shared" si="37"/>
        <v>14038.406107087649</v>
      </c>
      <c r="L42" s="69">
        <f t="shared" si="37"/>
        <v>14790.658788539624</v>
      </c>
      <c r="M42" s="69">
        <f t="shared" si="37"/>
        <v>15532.749831667854</v>
      </c>
      <c r="N42" s="69">
        <f t="shared" si="37"/>
        <v>16294.519157683555</v>
      </c>
    </row>
    <row r="43" spans="1:15" ht="15.75" thickBot="1" x14ac:dyDescent="0.3">
      <c r="A43" s="105" t="s">
        <v>173</v>
      </c>
      <c r="B43" s="106">
        <f>SUM(B33:B38)+SUM(B40:B42)</f>
        <v>19466</v>
      </c>
      <c r="C43" s="106">
        <f t="shared" ref="C43:N43" si="38">SUM(C33:C38)+SUM(C40:C42)</f>
        <v>19205</v>
      </c>
      <c r="D43" s="106">
        <f t="shared" si="38"/>
        <v>21211</v>
      </c>
      <c r="E43" s="106">
        <f t="shared" si="38"/>
        <v>20257</v>
      </c>
      <c r="F43" s="106">
        <f t="shared" si="38"/>
        <v>21105</v>
      </c>
      <c r="G43" s="106">
        <f t="shared" si="38"/>
        <v>29094</v>
      </c>
      <c r="H43" s="106">
        <f t="shared" si="38"/>
        <v>34904</v>
      </c>
      <c r="I43" s="106">
        <f t="shared" si="38"/>
        <v>36963</v>
      </c>
      <c r="J43" s="106">
        <f t="shared" si="38"/>
        <v>40389.744696832058</v>
      </c>
      <c r="K43" s="106">
        <f t="shared" si="38"/>
        <v>43967.260204734856</v>
      </c>
      <c r="L43" s="106">
        <f t="shared" si="38"/>
        <v>46323.260532180138</v>
      </c>
      <c r="M43" s="106">
        <f t="shared" si="38"/>
        <v>48647.435352307992</v>
      </c>
      <c r="N43" s="106">
        <f t="shared" si="38"/>
        <v>51033.241113833006</v>
      </c>
    </row>
    <row r="44" spans="1:15" ht="15.75" thickTop="1" x14ac:dyDescent="0.25">
      <c r="A44" s="110" t="s">
        <v>174</v>
      </c>
      <c r="B44" s="110">
        <f>B31-B43</f>
        <v>0</v>
      </c>
      <c r="C44" s="110">
        <f t="shared" ref="C44:I44" si="39">C31-C43</f>
        <v>0</v>
      </c>
      <c r="D44" s="110">
        <f t="shared" si="39"/>
        <v>0</v>
      </c>
      <c r="E44" s="110">
        <f t="shared" si="39"/>
        <v>0</v>
      </c>
      <c r="F44" s="110">
        <f t="shared" si="39"/>
        <v>0</v>
      </c>
      <c r="G44" s="110">
        <f t="shared" si="39"/>
        <v>0</v>
      </c>
      <c r="H44" s="110">
        <f t="shared" si="39"/>
        <v>0</v>
      </c>
      <c r="I44" s="110">
        <f t="shared" si="39"/>
        <v>0</v>
      </c>
      <c r="J44" s="110"/>
      <c r="K44" s="110"/>
      <c r="L44" s="110"/>
      <c r="M44" s="110"/>
      <c r="N44" s="110"/>
      <c r="O44" s="1"/>
    </row>
    <row r="45" spans="1:15" x14ac:dyDescent="0.25">
      <c r="A45" s="108" t="s">
        <v>175</v>
      </c>
      <c r="B45" s="92"/>
      <c r="C45" s="92"/>
      <c r="D45" s="92"/>
      <c r="E45" s="92"/>
      <c r="F45" s="92"/>
      <c r="G45" s="92"/>
      <c r="H45" s="92"/>
      <c r="I45" s="92"/>
      <c r="J45" s="129"/>
      <c r="K45" s="129"/>
      <c r="L45" s="129"/>
      <c r="M45" s="129"/>
      <c r="N45" s="129"/>
    </row>
    <row r="46" spans="1:15"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7121.118788703614</v>
      </c>
      <c r="K46" s="130">
        <f>'Segmental forecast'!K11</f>
        <v>9166.5582539600891</v>
      </c>
      <c r="L46" s="130">
        <f>'Segmental forecast'!L11</f>
        <v>11240.325284214014</v>
      </c>
      <c r="M46" s="130">
        <f>'Segmental forecast'!M11</f>
        <v>13972.044101648698</v>
      </c>
      <c r="N46" s="130">
        <f>'Segmental forecast'!N11</f>
        <v>16513.640946784686</v>
      </c>
      <c r="O46" t="s">
        <v>216</v>
      </c>
    </row>
    <row r="47" spans="1:15"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69">
        <f>'Segmental forecast'!J8</f>
        <v>749.63291420891494</v>
      </c>
      <c r="K47" s="69">
        <f>'Segmental forecast'!K8</f>
        <v>769.25061335262978</v>
      </c>
      <c r="L47" s="69">
        <f>'Segmental forecast'!L8</f>
        <v>777.15373818243461</v>
      </c>
      <c r="M47" s="69">
        <f>'Segmental forecast'!M8</f>
        <v>807.69621626010246</v>
      </c>
      <c r="N47" s="69">
        <f>'Segmental forecast'!N8</f>
        <v>837.25221053191831</v>
      </c>
      <c r="O47" t="s">
        <v>216</v>
      </c>
    </row>
    <row r="48" spans="1:15"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69">
        <f t="shared" ref="J48:N50" si="40">I48*(1+J$4)</f>
        <v>1345.1228450558738</v>
      </c>
      <c r="K48" s="69">
        <f t="shared" si="40"/>
        <v>1464.2668969517788</v>
      </c>
      <c r="L48" s="69">
        <f t="shared" si="40"/>
        <v>1542.7301278336108</v>
      </c>
      <c r="M48" s="69">
        <f t="shared" si="40"/>
        <v>1620.1334555823696</v>
      </c>
      <c r="N48" s="69">
        <f t="shared" si="40"/>
        <v>1699.5893139390319</v>
      </c>
      <c r="O48" t="s">
        <v>217</v>
      </c>
    </row>
    <row r="49" spans="1:15" x14ac:dyDescent="0.25">
      <c r="A49" s="93" t="s">
        <v>177</v>
      </c>
      <c r="B49" s="94">
        <f>B46-B48</f>
        <v>2971</v>
      </c>
      <c r="C49" s="94">
        <f t="shared" ref="C49:N49" si="41">C46-C48</f>
        <v>3894</v>
      </c>
      <c r="D49" s="94">
        <f t="shared" si="41"/>
        <v>4242</v>
      </c>
      <c r="E49" s="94">
        <f t="shared" si="41"/>
        <v>3850</v>
      </c>
      <c r="F49" s="94">
        <f t="shared" si="41"/>
        <v>4093</v>
      </c>
      <c r="G49" s="94">
        <f t="shared" si="41"/>
        <v>1948</v>
      </c>
      <c r="H49" s="94">
        <f t="shared" si="41"/>
        <v>5746</v>
      </c>
      <c r="I49" s="94">
        <f t="shared" si="41"/>
        <v>5625</v>
      </c>
      <c r="J49" s="94">
        <f t="shared" si="41"/>
        <v>5775.9959436477402</v>
      </c>
      <c r="K49" s="94">
        <f t="shared" si="41"/>
        <v>7702.2913570083101</v>
      </c>
      <c r="L49" s="94">
        <f t="shared" si="41"/>
        <v>9697.5951563804028</v>
      </c>
      <c r="M49" s="94">
        <f t="shared" si="41"/>
        <v>12351.910646066328</v>
      </c>
      <c r="N49" s="94">
        <f t="shared" si="41"/>
        <v>14814.051632845654</v>
      </c>
    </row>
    <row r="50" spans="1:15"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69">
        <f t="shared" si="40"/>
        <v>316.8851543998403</v>
      </c>
      <c r="K50" s="69">
        <f t="shared" ref="K50:N50" si="42">J50*(1+K$4)</f>
        <v>344.95320886760027</v>
      </c>
      <c r="L50" s="69">
        <f t="shared" si="42"/>
        <v>363.43764181295467</v>
      </c>
      <c r="M50" s="69">
        <f t="shared" si="42"/>
        <v>381.67238189998966</v>
      </c>
      <c r="N50" s="69">
        <f t="shared" si="42"/>
        <v>400.39065884835037</v>
      </c>
      <c r="O50" t="s">
        <v>217</v>
      </c>
    </row>
    <row r="51" spans="1:15" x14ac:dyDescent="0.25">
      <c r="A51" s="103" t="s">
        <v>179</v>
      </c>
      <c r="B51" s="122">
        <f>-(B23-B77)</f>
        <v>-1138</v>
      </c>
      <c r="C51" s="122">
        <f>-(C23-B23)</f>
        <v>-324</v>
      </c>
      <c r="D51" s="122">
        <f t="shared" ref="D51:I51" si="43">-(D23-C23)</f>
        <v>-796</v>
      </c>
      <c r="E51" s="122">
        <f t="shared" si="43"/>
        <v>204</v>
      </c>
      <c r="F51" s="122">
        <f t="shared" si="43"/>
        <v>-802</v>
      </c>
      <c r="G51" s="122">
        <f t="shared" si="43"/>
        <v>-586</v>
      </c>
      <c r="H51" s="122">
        <f t="shared" si="43"/>
        <v>-613</v>
      </c>
      <c r="I51" s="122">
        <f t="shared" si="43"/>
        <v>-1248</v>
      </c>
      <c r="J51" s="122">
        <f t="shared" ref="J51" si="44">-(J23-I23)</f>
        <v>-901.95057640015875</v>
      </c>
      <c r="K51" s="122">
        <f t="shared" ref="K51" si="45">-(K23-J23)</f>
        <v>-941.63483419598742</v>
      </c>
      <c r="L51" s="122">
        <f t="shared" ref="L51" si="46">-(L23-K23)</f>
        <v>-620.12085560466585</v>
      </c>
      <c r="M51" s="122">
        <f t="shared" ref="M51" si="47">-(M23-L23)</f>
        <v>-611.74409071297669</v>
      </c>
      <c r="N51" s="122">
        <f t="shared" ref="N51" si="48">-(N23-M23)</f>
        <v>-627.96591872621138</v>
      </c>
      <c r="O51" t="s">
        <v>218</v>
      </c>
    </row>
    <row r="52" spans="1:15"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-819.54243905006854</v>
      </c>
      <c r="K52" s="131">
        <f>-'Segmental forecast'!K14</f>
        <v>-909.60623522728758</v>
      </c>
      <c r="L52" s="131">
        <f>-'Segmental forecast'!L14</f>
        <v>-1042.1525863358725</v>
      </c>
      <c r="M52" s="131">
        <f>-'Segmental forecast'!M14</f>
        <v>-1274.4515638461628</v>
      </c>
      <c r="N52" s="131">
        <f>-'Segmental forecast'!N14</f>
        <v>-1731.2627157637844</v>
      </c>
      <c r="O52" t="s">
        <v>219</v>
      </c>
    </row>
    <row r="53" spans="1:15" x14ac:dyDescent="0.25">
      <c r="A53" s="93" t="s">
        <v>180</v>
      </c>
      <c r="B53" s="94">
        <f>B52+B49+B55+B56</f>
        <v>6688</v>
      </c>
      <c r="C53" s="94">
        <f t="shared" ref="C53:N53" si="49">C52+C49+C55+C56</f>
        <v>5847</v>
      </c>
      <c r="D53" s="94">
        <f t="shared" si="49"/>
        <v>6983</v>
      </c>
      <c r="E53" s="94">
        <f t="shared" si="49"/>
        <v>7777</v>
      </c>
      <c r="F53" s="94">
        <f t="shared" si="49"/>
        <v>8877</v>
      </c>
      <c r="G53" s="94">
        <f t="shared" si="49"/>
        <v>3347</v>
      </c>
      <c r="H53" s="94">
        <f t="shared" si="49"/>
        <v>11708</v>
      </c>
      <c r="I53" s="94">
        <f t="shared" si="49"/>
        <v>10055</v>
      </c>
      <c r="J53" s="94">
        <f t="shared" si="49"/>
        <v>10682.846284376876</v>
      </c>
      <c r="K53" s="94">
        <f t="shared" si="49"/>
        <v>14434.404677372026</v>
      </c>
      <c r="L53" s="94">
        <f t="shared" si="49"/>
        <v>18627.874534280003</v>
      </c>
      <c r="M53" s="94">
        <f t="shared" si="49"/>
        <v>23749.036350035683</v>
      </c>
      <c r="N53" s="94">
        <f t="shared" si="49"/>
        <v>28235.90864149787</v>
      </c>
    </row>
    <row r="54" spans="1:15"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69">
        <f t="shared" ref="J54:N54" si="50">I54*(1+J$4)</f>
        <v>102.71449832270686</v>
      </c>
      <c r="K54" s="69">
        <f t="shared" si="50"/>
        <v>111.81241942604974</v>
      </c>
      <c r="L54" s="69">
        <f t="shared" si="50"/>
        <v>117.80392527730255</v>
      </c>
      <c r="M54" s="69">
        <f t="shared" si="50"/>
        <v>123.71449620206562</v>
      </c>
      <c r="N54" s="69">
        <f t="shared" si="50"/>
        <v>129.78179976463773</v>
      </c>
    </row>
    <row r="55" spans="1:15" x14ac:dyDescent="0.25">
      <c r="A55" s="112" t="s">
        <v>182</v>
      </c>
      <c r="B55" s="113">
        <f>B49+B47-(-B51)+B54</f>
        <v>4680</v>
      </c>
      <c r="C55" s="113">
        <f t="shared" ref="C55:N55" si="51">C49+C47-(-C51)+C54</f>
        <v>3096</v>
      </c>
      <c r="D55" s="113">
        <f t="shared" si="51"/>
        <v>3846</v>
      </c>
      <c r="E55" s="113">
        <f t="shared" si="51"/>
        <v>4955</v>
      </c>
      <c r="F55" s="113">
        <f t="shared" si="51"/>
        <v>5903</v>
      </c>
      <c r="G55" s="113">
        <f t="shared" si="51"/>
        <v>2485</v>
      </c>
      <c r="H55" s="113">
        <f t="shared" si="51"/>
        <v>6657</v>
      </c>
      <c r="I55" s="113">
        <f t="shared" si="51"/>
        <v>5188</v>
      </c>
      <c r="J55" s="113">
        <f t="shared" si="51"/>
        <v>5726.3927797792039</v>
      </c>
      <c r="K55" s="113">
        <f t="shared" si="51"/>
        <v>7641.719555591003</v>
      </c>
      <c r="L55" s="113">
        <f t="shared" si="51"/>
        <v>9972.4319642354749</v>
      </c>
      <c r="M55" s="113">
        <f t="shared" si="51"/>
        <v>12671.577267815519</v>
      </c>
      <c r="N55" s="113">
        <f t="shared" si="51"/>
        <v>15153.119724415999</v>
      </c>
    </row>
    <row r="56" spans="1:15" x14ac:dyDescent="0.25">
      <c r="A56" s="103" t="s">
        <v>183</v>
      </c>
      <c r="B56" s="102"/>
      <c r="C56" s="102"/>
      <c r="D56" s="102"/>
      <c r="E56" s="102"/>
      <c r="F56" s="102"/>
      <c r="G56" s="102"/>
      <c r="H56" s="102"/>
      <c r="I56" s="102"/>
      <c r="J56" s="127"/>
      <c r="K56" s="127"/>
      <c r="L56" s="127"/>
      <c r="M56" s="127"/>
      <c r="N56" s="127"/>
    </row>
    <row r="57" spans="1:15"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32">
        <f t="shared" ref="J57:N65" si="52">I57*(1+J$4)</f>
        <v>-837.01389058716438</v>
      </c>
      <c r="K57" s="132">
        <f t="shared" si="52"/>
        <v>-911.15226893993724</v>
      </c>
      <c r="L57" s="132">
        <f t="shared" si="52"/>
        <v>-959.97666768525266</v>
      </c>
      <c r="M57" s="132">
        <f t="shared" si="52"/>
        <v>-1008.1415328806623</v>
      </c>
      <c r="N57" s="132">
        <f t="shared" si="52"/>
        <v>-1057.583602337367</v>
      </c>
    </row>
    <row r="58" spans="1:15" x14ac:dyDescent="0.25">
      <c r="A58" s="112" t="s">
        <v>185</v>
      </c>
      <c r="B58" s="113">
        <f>B52+B57</f>
        <v>-175</v>
      </c>
      <c r="C58" s="113">
        <f t="shared" ref="C58:N58" si="53">C52+C57</f>
        <v>-1034</v>
      </c>
      <c r="D58" s="113">
        <f t="shared" si="53"/>
        <v>-1008</v>
      </c>
      <c r="E58" s="113">
        <f t="shared" si="53"/>
        <v>276</v>
      </c>
      <c r="F58" s="113">
        <f t="shared" si="53"/>
        <v>-264</v>
      </c>
      <c r="G58" s="113">
        <f t="shared" si="53"/>
        <v>-1028</v>
      </c>
      <c r="H58" s="113">
        <f t="shared" si="53"/>
        <v>-3800</v>
      </c>
      <c r="I58" s="113">
        <f t="shared" si="53"/>
        <v>-1524</v>
      </c>
      <c r="J58" s="133">
        <f t="shared" si="53"/>
        <v>-1656.5563296372329</v>
      </c>
      <c r="K58" s="133">
        <f t="shared" si="53"/>
        <v>-1820.7585041672248</v>
      </c>
      <c r="L58" s="133">
        <f t="shared" si="53"/>
        <v>-2002.1292540211252</v>
      </c>
      <c r="M58" s="133">
        <f t="shared" si="53"/>
        <v>-2282.593096726825</v>
      </c>
      <c r="N58" s="133">
        <f t="shared" si="53"/>
        <v>-2788.8463181011512</v>
      </c>
    </row>
    <row r="59" spans="1:15"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32">
        <f t="shared" si="52"/>
        <v>-3128.4213691266991</v>
      </c>
      <c r="K59" s="132">
        <f t="shared" ref="K59:N59" si="54">J59*(1+K$4)</f>
        <v>-3405.5208171997911</v>
      </c>
      <c r="L59" s="132">
        <f t="shared" si="54"/>
        <v>-3588.0067879672038</v>
      </c>
      <c r="M59" s="132">
        <f t="shared" si="54"/>
        <v>-3768.0276875161044</v>
      </c>
      <c r="N59" s="132">
        <f t="shared" si="54"/>
        <v>-3952.822263044231</v>
      </c>
    </row>
    <row r="60" spans="1:15" x14ac:dyDescent="0.25">
      <c r="A60" s="104" t="s">
        <v>129</v>
      </c>
      <c r="B60" s="60" t="str">
        <f>IFERROR((B59-A59)/A59,"nm")</f>
        <v>nm</v>
      </c>
      <c r="C60" s="60">
        <f t="shared" ref="C60:I60" si="55">IFERROR((C59-B59)/B59,"nm")</f>
        <v>0.35198019801980196</v>
      </c>
      <c r="D60" s="60">
        <f t="shared" si="55"/>
        <v>1.0984987184181618E-3</v>
      </c>
      <c r="E60" s="60">
        <f t="shared" si="55"/>
        <v>0.28785662033650328</v>
      </c>
      <c r="F60" s="60">
        <f t="shared" si="55"/>
        <v>1.8460664583925021E-2</v>
      </c>
      <c r="G60" s="60">
        <f t="shared" si="55"/>
        <v>-0.39152258784160626</v>
      </c>
      <c r="H60" s="60">
        <f t="shared" si="55"/>
        <v>-1.2584784601283225</v>
      </c>
      <c r="I60" s="60">
        <f t="shared" si="55"/>
        <v>-6.0762411347517729</v>
      </c>
      <c r="J60" s="60">
        <f t="shared" ref="J60" si="56">IFERROR((J59-I59)/I59,"nm")</f>
        <v>9.2707428964966504E-2</v>
      </c>
      <c r="K60" s="60">
        <f t="shared" ref="K60" si="57">IFERROR((K59-J59)/J59,"nm")</f>
        <v>8.8574848262989725E-2</v>
      </c>
      <c r="L60" s="60">
        <f t="shared" ref="L60" si="58">IFERROR((L59-K59)/K59,"nm")</f>
        <v>5.3585334098019945E-2</v>
      </c>
      <c r="M60" s="60">
        <f t="shared" ref="M60" si="59">IFERROR((M59-L59)/L59,"nm")</f>
        <v>5.0172954006837876E-2</v>
      </c>
      <c r="N60" s="60">
        <f t="shared" ref="N60" si="60">IFERROR((N59-M59)/M59,"nm")</f>
        <v>4.9042786001910671E-2</v>
      </c>
    </row>
    <row r="61" spans="1:15"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32">
        <f t="shared" si="52"/>
        <v>-2007.3035470086436</v>
      </c>
      <c r="K61" s="132">
        <f t="shared" ref="K61:N61" si="61">J61*(1+K$4)</f>
        <v>-2185.1001541026953</v>
      </c>
      <c r="L61" s="132">
        <f t="shared" si="61"/>
        <v>-2302.1894758979229</v>
      </c>
      <c r="M61" s="132">
        <f t="shared" si="61"/>
        <v>-2417.6971225871757</v>
      </c>
      <c r="N61" s="132">
        <f t="shared" si="61"/>
        <v>-2536.2677251876539</v>
      </c>
    </row>
    <row r="62" spans="1:15"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32">
        <f t="shared" si="52"/>
        <v>16.390611434474497</v>
      </c>
      <c r="K62" s="132">
        <f t="shared" ref="K62:N62" si="62">J62*(1+K$4)</f>
        <v>17.842407355220701</v>
      </c>
      <c r="L62" s="132">
        <f t="shared" si="62"/>
        <v>18.798498714463168</v>
      </c>
      <c r="M62" s="132">
        <f t="shared" si="62"/>
        <v>19.741674925861528</v>
      </c>
      <c r="N62" s="132">
        <f t="shared" si="62"/>
        <v>20.709861664569839</v>
      </c>
    </row>
    <row r="63" spans="1:15"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32">
        <f t="shared" si="52"/>
        <v>-164.99882177370995</v>
      </c>
      <c r="K63" s="132">
        <f t="shared" ref="K63:N63" si="63">J63*(1+K$4)</f>
        <v>-179.61356737588841</v>
      </c>
      <c r="L63" s="132">
        <f t="shared" si="63"/>
        <v>-189.2382203922626</v>
      </c>
      <c r="M63" s="132">
        <f t="shared" si="63"/>
        <v>-198.73286092033945</v>
      </c>
      <c r="N63" s="132">
        <f t="shared" si="63"/>
        <v>-208.47927409000314</v>
      </c>
    </row>
    <row r="64" spans="1:15" x14ac:dyDescent="0.25">
      <c r="A64" s="112" t="s">
        <v>190</v>
      </c>
      <c r="B64" s="113">
        <f>B59+B61+B62+B63</f>
        <v>-2790</v>
      </c>
      <c r="C64" s="113">
        <f t="shared" ref="C64:N64" si="64">C59+C61+C62+C63</f>
        <v>-2671</v>
      </c>
      <c r="D64" s="113">
        <f t="shared" si="64"/>
        <v>-2148</v>
      </c>
      <c r="E64" s="113">
        <f t="shared" si="64"/>
        <v>-4835</v>
      </c>
      <c r="F64" s="113">
        <f t="shared" si="64"/>
        <v>-5293</v>
      </c>
      <c r="G64" s="113">
        <f t="shared" si="64"/>
        <v>2491</v>
      </c>
      <c r="H64" s="113">
        <f t="shared" si="64"/>
        <v>-1459</v>
      </c>
      <c r="I64" s="113">
        <f t="shared" si="64"/>
        <v>-4836</v>
      </c>
      <c r="J64" s="113">
        <f t="shared" si="64"/>
        <v>-5284.3331264745784</v>
      </c>
      <c r="K64" s="113">
        <f t="shared" si="64"/>
        <v>-5752.392131323154</v>
      </c>
      <c r="L64" s="113">
        <f t="shared" si="64"/>
        <v>-6060.6359855429264</v>
      </c>
      <c r="M64" s="113">
        <f t="shared" si="64"/>
        <v>-6364.7159960977579</v>
      </c>
      <c r="N64" s="113">
        <f t="shared" si="64"/>
        <v>-6676.8594006573176</v>
      </c>
    </row>
    <row r="65" spans="1:15"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32">
        <f t="shared" si="52"/>
        <v>-156.25716234199021</v>
      </c>
      <c r="K65" s="132">
        <f t="shared" si="52"/>
        <v>-170.09761678643736</v>
      </c>
      <c r="L65" s="132">
        <f t="shared" si="52"/>
        <v>-179.21235441121556</v>
      </c>
      <c r="M65" s="132">
        <f t="shared" si="52"/>
        <v>-188.20396762654661</v>
      </c>
      <c r="N65" s="132">
        <f t="shared" si="52"/>
        <v>-197.43401453556586</v>
      </c>
    </row>
    <row r="66" spans="1:15" x14ac:dyDescent="0.25">
      <c r="A66" s="112" t="s">
        <v>192</v>
      </c>
      <c r="B66" s="113">
        <f>B55+B58+B64+B65</f>
        <v>1632</v>
      </c>
      <c r="C66" s="113">
        <f t="shared" ref="C66:N66" si="65">C55+C58+C64+C65</f>
        <v>-714</v>
      </c>
      <c r="D66" s="113">
        <f t="shared" si="65"/>
        <v>670</v>
      </c>
      <c r="E66" s="113">
        <f t="shared" si="65"/>
        <v>441</v>
      </c>
      <c r="F66" s="113">
        <f t="shared" si="65"/>
        <v>217</v>
      </c>
      <c r="G66" s="113">
        <f t="shared" si="65"/>
        <v>3882</v>
      </c>
      <c r="H66" s="113">
        <f t="shared" si="65"/>
        <v>1541</v>
      </c>
      <c r="I66" s="113">
        <f t="shared" si="65"/>
        <v>-1315</v>
      </c>
      <c r="J66" s="113">
        <f t="shared" si="65"/>
        <v>-1370.7538386745975</v>
      </c>
      <c r="K66" s="113">
        <f t="shared" si="65"/>
        <v>-101.52869668581297</v>
      </c>
      <c r="L66" s="113">
        <f t="shared" si="65"/>
        <v>1730.4543702602077</v>
      </c>
      <c r="M66" s="113">
        <f t="shared" si="65"/>
        <v>3836.0642073643894</v>
      </c>
      <c r="N66" s="113">
        <f t="shared" si="65"/>
        <v>5489.9799911219661</v>
      </c>
    </row>
    <row r="67" spans="1:15" x14ac:dyDescent="0.25">
      <c r="A67" s="103" t="s">
        <v>193</v>
      </c>
      <c r="B67" s="102">
        <f>Historicals!B97</f>
        <v>2220</v>
      </c>
      <c r="C67" s="102">
        <f>B68</f>
        <v>3852</v>
      </c>
      <c r="D67" s="102">
        <f t="shared" ref="D67:I67" si="66">C68</f>
        <v>3138</v>
      </c>
      <c r="E67" s="102">
        <f t="shared" si="66"/>
        <v>3808</v>
      </c>
      <c r="F67" s="102">
        <f t="shared" si="66"/>
        <v>4249</v>
      </c>
      <c r="G67" s="102">
        <f t="shared" si="66"/>
        <v>4466</v>
      </c>
      <c r="H67" s="102">
        <f t="shared" si="66"/>
        <v>8348</v>
      </c>
      <c r="I67" s="102">
        <f t="shared" si="66"/>
        <v>9889</v>
      </c>
      <c r="J67" s="102">
        <f t="shared" ref="J67" si="67">I68</f>
        <v>8574</v>
      </c>
      <c r="K67" s="102">
        <f t="shared" ref="K67" si="68">J68</f>
        <v>7203.2461613254027</v>
      </c>
      <c r="L67" s="102">
        <f t="shared" ref="L67" si="69">K68</f>
        <v>7101.7174646395897</v>
      </c>
      <c r="M67" s="102">
        <f t="shared" ref="M67" si="70">L68</f>
        <v>8832.1718348997965</v>
      </c>
      <c r="N67" s="102">
        <f t="shared" ref="N67" si="71">M68</f>
        <v>12668.236042264187</v>
      </c>
    </row>
    <row r="68" spans="1:15" ht="15.75" thickBot="1" x14ac:dyDescent="0.3">
      <c r="A68" s="105" t="s">
        <v>194</v>
      </c>
      <c r="B68" s="106">
        <f>B66+B67</f>
        <v>3852</v>
      </c>
      <c r="C68" s="106">
        <f t="shared" ref="C68:N68" si="72">C66+C67</f>
        <v>3138</v>
      </c>
      <c r="D68" s="106">
        <f t="shared" si="72"/>
        <v>3808</v>
      </c>
      <c r="E68" s="106">
        <f t="shared" si="72"/>
        <v>4249</v>
      </c>
      <c r="F68" s="106">
        <f t="shared" si="72"/>
        <v>4466</v>
      </c>
      <c r="G68" s="106">
        <f t="shared" si="72"/>
        <v>8348</v>
      </c>
      <c r="H68" s="106">
        <f t="shared" si="72"/>
        <v>9889</v>
      </c>
      <c r="I68" s="106">
        <f t="shared" si="72"/>
        <v>8574</v>
      </c>
      <c r="J68" s="106">
        <f t="shared" si="72"/>
        <v>7203.2461613254027</v>
      </c>
      <c r="K68" s="106">
        <f t="shared" si="72"/>
        <v>7101.7174646395897</v>
      </c>
      <c r="L68" s="106">
        <f t="shared" si="72"/>
        <v>8832.1718348997965</v>
      </c>
      <c r="M68" s="106">
        <f t="shared" si="72"/>
        <v>12668.236042264187</v>
      </c>
      <c r="N68" s="106">
        <f t="shared" si="72"/>
        <v>18158.216033386154</v>
      </c>
    </row>
    <row r="69" spans="1:15" ht="15.75" thickTop="1" x14ac:dyDescent="0.25">
      <c r="A69" s="117" t="s">
        <v>195</v>
      </c>
      <c r="B69" s="116">
        <f>B21-B68</f>
        <v>0</v>
      </c>
      <c r="C69" s="116">
        <f t="shared" ref="C69:I69" si="73">C21-C68</f>
        <v>0</v>
      </c>
      <c r="D69" s="116">
        <f t="shared" si="73"/>
        <v>0</v>
      </c>
      <c r="E69" s="116">
        <f t="shared" si="73"/>
        <v>0</v>
      </c>
      <c r="F69" s="116">
        <f t="shared" si="73"/>
        <v>0</v>
      </c>
      <c r="G69" s="116">
        <f t="shared" si="73"/>
        <v>0</v>
      </c>
      <c r="H69" s="116">
        <f t="shared" si="73"/>
        <v>0</v>
      </c>
      <c r="I69" s="116">
        <f t="shared" si="73"/>
        <v>0</v>
      </c>
      <c r="J69" s="116"/>
      <c r="K69" s="116"/>
      <c r="L69" s="116"/>
      <c r="M69" s="116"/>
      <c r="N69" s="116"/>
    </row>
    <row r="70" spans="1:15" x14ac:dyDescent="0.25">
      <c r="J70" s="70"/>
      <c r="K70" s="70"/>
      <c r="L70" s="70"/>
      <c r="M70" s="70"/>
      <c r="N70" s="70"/>
      <c r="O70" t="s">
        <v>220</v>
      </c>
    </row>
    <row r="73" spans="1:15" x14ac:dyDescent="0.25">
      <c r="A73" s="118">
        <v>2014</v>
      </c>
      <c r="B73" s="118"/>
    </row>
    <row r="74" spans="1:15" x14ac:dyDescent="0.25">
      <c r="A74" s="118" t="s">
        <v>35</v>
      </c>
      <c r="B74" s="119">
        <v>2922</v>
      </c>
    </row>
    <row r="75" spans="1:15" x14ac:dyDescent="0.25">
      <c r="A75" s="118" t="s">
        <v>197</v>
      </c>
      <c r="B75" s="119">
        <v>3434</v>
      </c>
    </row>
    <row r="76" spans="1:15" x14ac:dyDescent="0.25">
      <c r="A76" s="118" t="s">
        <v>198</v>
      </c>
      <c r="B76" s="119">
        <v>1930</v>
      </c>
    </row>
    <row r="77" spans="1:15" x14ac:dyDescent="0.25">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2023-10-18T07:48:50Z</dcterms:modified>
</cp:coreProperties>
</file>