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13_ncr:1_{A66CC45D-233F-9444-A426-F2709078B278}" xr6:coauthVersionLast="36" xr6:coauthVersionMax="36" xr10:uidLastSave="{00000000-0000-0000-0000-000000000000}"/>
  <bookViews>
    <workbookView xWindow="14800" yWindow="500" windowWidth="13400" windowHeight="1424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3" l="1"/>
  <c r="E30" i="3"/>
  <c r="C30" i="3"/>
  <c r="D8" i="3"/>
  <c r="E8" i="3"/>
  <c r="C8" i="3"/>
  <c r="C51" i="3"/>
  <c r="C50" i="3" s="1"/>
  <c r="D50" i="3"/>
  <c r="E50" i="3"/>
  <c r="E51" i="3"/>
  <c r="D51" i="3"/>
  <c r="D49" i="3"/>
  <c r="E49" i="3"/>
  <c r="C49" i="3"/>
  <c r="D48" i="3"/>
  <c r="E48" i="3"/>
  <c r="C48" i="3"/>
  <c r="D47" i="3"/>
  <c r="E47" i="3"/>
  <c r="C47" i="3"/>
  <c r="E41" i="3"/>
  <c r="D41" i="3"/>
  <c r="C41" i="3"/>
  <c r="D58" i="3"/>
  <c r="C58" i="3"/>
  <c r="D68" i="3"/>
  <c r="E68" i="3"/>
  <c r="C68" i="3"/>
  <c r="D67" i="3"/>
  <c r="E67" i="3"/>
  <c r="C67" i="3"/>
  <c r="D66" i="3"/>
  <c r="E66" i="3"/>
  <c r="C66" i="3"/>
  <c r="D64" i="3"/>
  <c r="E64" i="3"/>
  <c r="C64" i="3"/>
  <c r="D63" i="3"/>
  <c r="E63" i="3"/>
  <c r="C63" i="3"/>
  <c r="D62" i="3"/>
  <c r="E62" i="3"/>
  <c r="C62" i="3"/>
  <c r="D61" i="3"/>
  <c r="E61" i="3"/>
  <c r="C61" i="3"/>
  <c r="D60" i="3"/>
  <c r="E60" i="3"/>
  <c r="C60" i="3"/>
  <c r="D57" i="3"/>
  <c r="C57" i="3"/>
  <c r="D56" i="3"/>
  <c r="C56" i="3"/>
  <c r="D55" i="3"/>
  <c r="C55" i="3"/>
  <c r="D54" i="3"/>
  <c r="C54" i="3"/>
  <c r="D53" i="3"/>
  <c r="C53" i="3"/>
  <c r="D43" i="3"/>
  <c r="D42" i="3" s="1"/>
  <c r="E43" i="3"/>
  <c r="E42" i="3" s="1"/>
  <c r="C43" i="3"/>
  <c r="C42" i="3" s="1"/>
  <c r="D40" i="3"/>
  <c r="E40" i="3"/>
  <c r="C40" i="3"/>
  <c r="D37" i="3" l="1"/>
  <c r="E37" i="3"/>
  <c r="C37" i="3"/>
  <c r="D36" i="3"/>
  <c r="E36" i="3"/>
  <c r="C36" i="3"/>
  <c r="D35" i="3"/>
  <c r="E35" i="3"/>
  <c r="C35" i="3"/>
  <c r="D34" i="3"/>
  <c r="E34" i="3"/>
  <c r="C34" i="3"/>
  <c r="D31" i="3"/>
  <c r="E31" i="3"/>
  <c r="C31" i="3"/>
  <c r="D29" i="3"/>
  <c r="E29" i="3"/>
  <c r="C29" i="3"/>
  <c r="D27" i="3"/>
  <c r="E27" i="3"/>
  <c r="C27" i="3"/>
  <c r="D25" i="3"/>
  <c r="E25" i="3"/>
  <c r="C25" i="3"/>
  <c r="C26" i="3"/>
  <c r="D26" i="3"/>
  <c r="E26" i="3"/>
  <c r="B59" i="2"/>
  <c r="D59" i="2"/>
  <c r="C59" i="2"/>
  <c r="D22" i="3"/>
  <c r="C22" i="3"/>
  <c r="D21" i="3"/>
  <c r="D28" i="3" s="1"/>
  <c r="E21" i="3"/>
  <c r="E28" i="3" s="1"/>
  <c r="C21" i="3"/>
  <c r="C20" i="3" s="1"/>
  <c r="D19" i="3"/>
  <c r="D18" i="3" s="1"/>
  <c r="E19" i="3"/>
  <c r="C19" i="3"/>
  <c r="C18" i="3" s="1"/>
  <c r="D17" i="3"/>
  <c r="C17" i="3"/>
  <c r="C14" i="3"/>
  <c r="C13" i="3" s="1"/>
  <c r="D11" i="3"/>
  <c r="C11" i="3"/>
  <c r="C10" i="3"/>
  <c r="D9" i="3"/>
  <c r="E9" i="3"/>
  <c r="C9" i="3"/>
  <c r="E7" i="3"/>
  <c r="E6" i="3"/>
  <c r="C6" i="3"/>
  <c r="C5" i="3"/>
  <c r="C54" i="2"/>
  <c r="D7" i="3" s="1"/>
  <c r="B54" i="2"/>
  <c r="C7" i="3" s="1"/>
  <c r="B47" i="2"/>
  <c r="C47" i="2"/>
  <c r="C41" i="2"/>
  <c r="C48" i="2" s="1"/>
  <c r="B41" i="2"/>
  <c r="C101" i="2"/>
  <c r="B101" i="2"/>
  <c r="C95" i="2"/>
  <c r="B95" i="2"/>
  <c r="C10" i="2"/>
  <c r="B10" i="2"/>
  <c r="C18" i="2"/>
  <c r="D10" i="3" s="1"/>
  <c r="B18" i="2"/>
  <c r="D101" i="2"/>
  <c r="D95" i="2"/>
  <c r="D54" i="2"/>
  <c r="D47" i="2"/>
  <c r="D41" i="2"/>
  <c r="D48" i="2" s="1"/>
  <c r="C28" i="3" l="1"/>
  <c r="D20" i="3"/>
  <c r="C60" i="2"/>
  <c r="D14" i="3"/>
  <c r="D13" i="3" s="1"/>
  <c r="D6" i="3"/>
  <c r="E5" i="3"/>
  <c r="B48" i="2"/>
  <c r="B60" i="2"/>
  <c r="D5" i="3"/>
  <c r="E14" i="3"/>
  <c r="D12" i="3"/>
  <c r="C12" i="3"/>
  <c r="D60" i="2"/>
  <c r="D18" i="2" l="1"/>
  <c r="D8" i="2"/>
  <c r="D10" i="2" l="1"/>
  <c r="E17" i="3"/>
  <c r="E22" i="3"/>
  <c r="E11" i="3"/>
  <c r="E18" i="3"/>
  <c r="E20" i="3"/>
  <c r="E13" i="3"/>
  <c r="E10" i="3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E12" i="3" l="1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<sst xmlns="http://schemas.openxmlformats.org/spreadsheetml/2006/main" count="177" uniqueCount="169">
  <si>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</si>
  <si>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</si>
  <si>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</si>
  <si>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</si>
  <si>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</si>
  <si>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</si>
  <si>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</si>
  <si>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</si>
  <si>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</si>
  <si>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</si>
  <si>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</si>
  <si>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</si>
  <si>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</si>
  <si>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</si>
  <si>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</si>
  <si>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</si>
  <si>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</si>
  <si>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</si>
  <si>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</si>
  <si>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</si>
  <si>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</si>
  <si>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</si>
  <si>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</si>
  <si>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</si>
  <si>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</si>
  <si>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</si>
  <si>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</si>
  <si>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</si>
  <si>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</si>
  <si>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</si>
  <si>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</si>
  <si>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</si>
  <si>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</si>
  <si>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</si>
  <si>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</si>
  <si>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</si>
  <si>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</si>
  <si>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</si>
  <si>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</si>
  <si>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</si>
  <si>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</si>
  <si>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</si>
  <si>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</si>
  <si>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</si>
  <si>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</si>
  <si>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</si>
  <si>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</si>
  <si>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</si>
  <si>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</si>
  <si>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</si>
  <si>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</si>
  <si>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</si>
  <si>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</si>
  <si>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</si>
  <si>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</si>
  <si>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</si>
  <si>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</si>
  <si>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</si>
  <si>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</si>
  <si>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</si>
  <si>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</si>
  <si>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</si>
  <si>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</si>
  <si>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</si>
  <si>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</si>
  <si>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Total net sales</t>
  </si>
  <si>
    <t>Cost of sales:</t>
  </si>
  <si>
    <t>Total cost of sales</t>
  </si>
  <si>
    <t>Operating expenses: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</si>
  <si>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</si>
  <si>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</si>
  <si>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</si>
  <si>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</si>
  <si>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</si>
  <si>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</si>
  <si>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</si>
  <si>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</si>
  <si>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</si>
  <si>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</si>
  <si>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</si>
  <si>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</si>
  <si>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</si>
  <si>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</si>
  <si>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</si>
  <si>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</si>
  <si>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</si>
  <si>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</si>
  <si>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</si>
  <si>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</si>
  <si>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</si>
  <si>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</si>
  <si>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</si>
  <si>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Deferred revenue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</si>
  <si>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</si>
  <si>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</si>
  <si>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</si>
  <si>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</si>
  <si>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</si>
  <si>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</si>
  <si>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</si>
  <si>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</si>
  <si>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</si>
  <si>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</si>
  <si>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</si>
  <si>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</si>
  <si>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</si>
  <si>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</si>
  <si>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</si>
  <si>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</si>
  <si>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Changes in operating assets and liabilities:</t>
  </si>
  <si>
    <t>Other current and non current liabilities</t>
  </si>
  <si>
    <t>Cash generated by operating activities</t>
  </si>
  <si>
    <t>Investing activities:</t>
  </si>
  <si>
    <t>Cash generated by/(used in) investing activities</t>
  </si>
  <si>
    <t>Financing activities: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</si>
  <si>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</si>
  <si>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</si>
  <si>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</si>
  <si>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</si>
  <si>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</si>
  <si>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 xml:space="preserve">Years ended  December </t>
  </si>
  <si>
    <t xml:space="preserve">Fulfillment </t>
  </si>
  <si>
    <t xml:space="preserve">Marketing </t>
  </si>
  <si>
    <t xml:space="preserve">Technology and content </t>
  </si>
  <si>
    <t>General and administrative</t>
  </si>
  <si>
    <t>Other operating expenses</t>
  </si>
  <si>
    <t xml:space="preserve">Services </t>
  </si>
  <si>
    <t xml:space="preserve">Products </t>
  </si>
  <si>
    <t xml:space="preserve">Goodwill </t>
  </si>
  <si>
    <t>Accured expenses and other</t>
  </si>
  <si>
    <t>Unearned revenue</t>
  </si>
  <si>
    <t>Commitments and contingencies note 7</t>
  </si>
  <si>
    <t>Other operating expense, net</t>
  </si>
  <si>
    <t xml:space="preserve">Other expense (inncome), net </t>
  </si>
  <si>
    <t>Sales and maturities of marketable securities</t>
  </si>
  <si>
    <t xml:space="preserve">Acquisitions, net of cash acquired, and other </t>
  </si>
  <si>
    <t xml:space="preserve">Proceeds from long term debt and other </t>
  </si>
  <si>
    <t>Repayments of long term debt and other</t>
  </si>
  <si>
    <t xml:space="preserve">Prinncipal repayments of capital lease obligations </t>
  </si>
  <si>
    <t>Principal repayments of finance lease obligations</t>
  </si>
  <si>
    <t xml:space="preserve">Foreign currency effct on cash and equivalents </t>
  </si>
  <si>
    <t>Property and equipment acquired under capital leases</t>
  </si>
  <si>
    <t>Property and equipment acquired under uild-to-suit leases</t>
  </si>
  <si>
    <t>Proceeds from proprty nd equipment sales and incentives</t>
  </si>
  <si>
    <t xml:space="preserve">Purchases of propery and equipment </t>
  </si>
  <si>
    <t xml:space="preserve">Purchases of marketale securities </t>
  </si>
  <si>
    <t xml:space="preserve">Cash paid for interest on long term debt </t>
  </si>
  <si>
    <t>Cash paid for interest on finance leases</t>
  </si>
  <si>
    <t xml:space="preserve">Cash paid for interest on financing oligations </t>
  </si>
  <si>
    <t>Cash paid for operaing leases</t>
  </si>
  <si>
    <t>Assets acquired under operating leases</t>
  </si>
  <si>
    <t>Operating leases</t>
  </si>
  <si>
    <t xml:space="preserve">Long term lease liailities </t>
  </si>
  <si>
    <t>Common stock and additional paid in capital, $0.01 par value: 5000 shares authorized; 521 and 498 shares issued and outstanding, respectively</t>
  </si>
  <si>
    <t>Long term debt</t>
  </si>
  <si>
    <t xml:space="preserve">Net Sales growth </t>
  </si>
  <si>
    <t xml:space="preserve">Gross profits  growth </t>
  </si>
  <si>
    <t xml:space="preserve">Operating expenses growthh </t>
  </si>
  <si>
    <t xml:space="preserve">Operating income growthh </t>
  </si>
  <si>
    <t xml:space="preserve">Net profit gortwh </t>
  </si>
  <si>
    <t>COGS as a % of net sales</t>
  </si>
  <si>
    <t>Gross profits as a % of net sales</t>
  </si>
  <si>
    <t>Seling, general and administrative and Development as a % of net sales</t>
  </si>
  <si>
    <t xml:space="preserve">Operating income as a % of net sales </t>
  </si>
  <si>
    <t xml:space="preserve">Net profit as a % of net sales </t>
  </si>
  <si>
    <t>Income tax rate</t>
  </si>
  <si>
    <t>Capex as a percentage of sales</t>
  </si>
  <si>
    <t>Capex as a percentage of fixed assets</t>
  </si>
  <si>
    <t xml:space="preserve">Net income growth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</si>
</sst>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0" xfId="0" applyFont="1" applyAlignment="1">
      <alignment horizontal="left" indent="1"/>
    </xf>
    <xf numFmtId="164" fontId="2" fillId="0" borderId="0" xfId="1" applyNumberFormat="1" applyFont="1" applyBorder="1"/>
    <xf numFmtId="0" fontId="0" fillId="0" borderId="0" xfId="0" applyFont="1" applyBorder="1"/>
    <xf numFmtId="164" fontId="1" fillId="0" borderId="1" xfId="1" applyNumberFormat="1" applyFont="1" applyBorder="1"/>
    <xf numFmtId="164" fontId="1" fillId="0" borderId="2" xfId="1" applyNumberFormat="1" applyFont="1" applyBorder="1"/>
    <xf numFmtId="164" fontId="1" fillId="0" borderId="0" xfId="1" applyNumberFormat="1" applyFont="1"/>
    <xf numFmtId="164" fontId="1" fillId="0" borderId="2" xfId="1" applyNumberFormat="1" applyFont="1" applyBorder="1" applyAlignment="1">
      <alignment vertical="center"/>
    </xf>
    <xf numFmtId="164" fontId="1" fillId="0" borderId="0" xfId="1" applyNumberFormat="1" applyFont="1" applyFill="1" applyBorder="1"/>
    <xf numFmtId="164" fontId="1" fillId="0" borderId="0" xfId="1" applyNumberFormat="1" applyFont="1" applyBorder="1"/>
    <xf numFmtId="164" fontId="1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4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zoomScale="150" workbookViewId="0">
      <selection activeCell="A5" sqref="A5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63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61</v>
      </c>
    </row>
    <row r="8" spans="1:1" ht="16" x14ac:dyDescent="0.2">
      <c r="A8" s="2" t="s">
        <v>62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56" zoomScale="107" workbookViewId="0">
      <selection activeCell="B88" sqref="B88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">
      <c r="A2" s="38" t="s">
        <v>10</v>
      </c>
      <c r="B2" s="38"/>
      <c r="C2" s="38"/>
      <c r="D2" s="38"/>
    </row>
    <row r="3" spans="1:10" x14ac:dyDescent="0.2">
      <c r="B3" s="37" t="s">
        <v>120</v>
      </c>
      <c r="C3" s="37"/>
      <c r="D3" s="37"/>
    </row>
    <row r="4" spans="1:10" x14ac:dyDescent="0.2">
      <c r="B4" s="9">
        <v>2019</v>
      </c>
      <c r="C4" s="9">
        <v>2018</v>
      </c>
      <c r="D4" s="9">
        <v>2017</v>
      </c>
    </row>
    <row r="5" spans="1:10" x14ac:dyDescent="0.2">
      <c r="A5" t="s">
        <v>64</v>
      </c>
    </row>
    <row r="6" spans="1:10" x14ac:dyDescent="0.2">
      <c r="A6" s="1" t="s">
        <v>127</v>
      </c>
      <c r="B6" s="10">
        <v>160408</v>
      </c>
      <c r="C6" s="10">
        <v>141915</v>
      </c>
      <c r="D6" s="10">
        <v>118573</v>
      </c>
    </row>
    <row r="7" spans="1:10" x14ac:dyDescent="0.2">
      <c r="A7" s="1" t="s">
        <v>126</v>
      </c>
      <c r="B7" s="10">
        <v>120114</v>
      </c>
      <c r="C7" s="10">
        <v>90972</v>
      </c>
      <c r="D7" s="10">
        <v>59293</v>
      </c>
    </row>
    <row r="8" spans="1:10" x14ac:dyDescent="0.2">
      <c r="A8" s="11" t="s">
        <v>65</v>
      </c>
      <c r="B8" s="12">
        <v>280522</v>
      </c>
      <c r="C8" s="12">
        <v>232887</v>
      </c>
      <c r="D8" s="12">
        <f>SUM(D6:D7)</f>
        <v>177866</v>
      </c>
    </row>
    <row r="9" spans="1:10" x14ac:dyDescent="0.2">
      <c r="A9" s="11" t="s">
        <v>67</v>
      </c>
      <c r="B9" s="12">
        <v>165536</v>
      </c>
      <c r="C9" s="12">
        <v>139156</v>
      </c>
      <c r="D9" s="12">
        <v>111934</v>
      </c>
    </row>
    <row r="10" spans="1:10" x14ac:dyDescent="0.2">
      <c r="A10" s="11" t="s">
        <v>11</v>
      </c>
      <c r="B10" s="12">
        <f>B8-B9</f>
        <v>114986</v>
      </c>
      <c r="C10" s="12">
        <f t="shared" ref="C10:D10" si="0">C8-C9</f>
        <v>93731</v>
      </c>
      <c r="D10" s="12">
        <f t="shared" si="0"/>
        <v>65932</v>
      </c>
    </row>
    <row r="11" spans="1:10" x14ac:dyDescent="0.2">
      <c r="A11" s="27" t="s">
        <v>68</v>
      </c>
      <c r="B11" s="26"/>
      <c r="C11" s="26"/>
      <c r="D11" s="26"/>
    </row>
    <row r="12" spans="1:10" x14ac:dyDescent="0.2">
      <c r="A12" t="s">
        <v>66</v>
      </c>
      <c r="B12" s="10">
        <v>165536</v>
      </c>
      <c r="C12" s="10">
        <v>139156</v>
      </c>
      <c r="D12" s="10">
        <v>111934</v>
      </c>
    </row>
    <row r="13" spans="1:10" x14ac:dyDescent="0.2">
      <c r="A13" t="s">
        <v>121</v>
      </c>
      <c r="B13" s="10">
        <v>40232</v>
      </c>
      <c r="C13" s="10">
        <v>34027</v>
      </c>
      <c r="D13" s="10">
        <v>25249</v>
      </c>
    </row>
    <row r="14" spans="1:10" x14ac:dyDescent="0.2">
      <c r="A14" s="1" t="s">
        <v>122</v>
      </c>
      <c r="B14" s="10">
        <v>18878</v>
      </c>
      <c r="C14" s="10">
        <v>13814</v>
      </c>
      <c r="D14" s="10">
        <v>10069</v>
      </c>
    </row>
    <row r="15" spans="1:10" x14ac:dyDescent="0.2">
      <c r="A15" s="1" t="s">
        <v>123</v>
      </c>
      <c r="B15" s="10">
        <v>35931</v>
      </c>
      <c r="C15" s="10">
        <v>28837</v>
      </c>
      <c r="D15" s="10">
        <v>22620</v>
      </c>
    </row>
    <row r="16" spans="1:10" x14ac:dyDescent="0.2">
      <c r="A16" s="1" t="s">
        <v>124</v>
      </c>
      <c r="B16" s="10">
        <v>5203</v>
      </c>
      <c r="C16" s="10">
        <v>4336</v>
      </c>
      <c r="D16" s="10">
        <v>3674</v>
      </c>
    </row>
    <row r="17" spans="1:4" x14ac:dyDescent="0.2">
      <c r="A17" s="1" t="s">
        <v>125</v>
      </c>
      <c r="B17" s="10">
        <v>201</v>
      </c>
      <c r="C17" s="10">
        <v>296</v>
      </c>
      <c r="D17" s="10">
        <v>214</v>
      </c>
    </row>
    <row r="18" spans="1:4" x14ac:dyDescent="0.2">
      <c r="A18" s="11" t="s">
        <v>69</v>
      </c>
      <c r="B18" s="12">
        <f>SUM(B12:B17)</f>
        <v>265981</v>
      </c>
      <c r="C18" s="12">
        <f>SUM(C12:C17)</f>
        <v>220466</v>
      </c>
      <c r="D18" s="12">
        <f>SUM(D12:D17)</f>
        <v>173760</v>
      </c>
    </row>
    <row r="19" spans="1:4" s="11" customFormat="1" x14ac:dyDescent="0.2">
      <c r="A19" s="11" t="s">
        <v>70</v>
      </c>
      <c r="B19" s="12">
        <v>14541</v>
      </c>
      <c r="C19" s="12">
        <v>12421</v>
      </c>
      <c r="D19" s="12">
        <v>4106</v>
      </c>
    </row>
    <row r="20" spans="1:4" x14ac:dyDescent="0.2">
      <c r="A20" t="s">
        <v>71</v>
      </c>
      <c r="B20" s="10">
        <v>203</v>
      </c>
      <c r="C20" s="10">
        <v>-183</v>
      </c>
      <c r="D20" s="10">
        <v>346</v>
      </c>
    </row>
    <row r="21" spans="1:4" x14ac:dyDescent="0.2">
      <c r="A21" s="11" t="s">
        <v>72</v>
      </c>
      <c r="B21" s="12">
        <v>13976</v>
      </c>
      <c r="C21" s="12">
        <v>11261</v>
      </c>
      <c r="D21" s="12">
        <v>3806</v>
      </c>
    </row>
    <row r="22" spans="1:4" x14ac:dyDescent="0.2">
      <c r="A22" t="s">
        <v>73</v>
      </c>
      <c r="B22" s="10">
        <v>2374</v>
      </c>
      <c r="C22" s="10">
        <v>1197</v>
      </c>
      <c r="D22" s="10">
        <v>-769</v>
      </c>
    </row>
    <row r="23" spans="1:4" ht="16" thickBot="1" x14ac:dyDescent="0.25">
      <c r="A23" s="13" t="s">
        <v>74</v>
      </c>
      <c r="B23" s="14">
        <v>11588</v>
      </c>
      <c r="C23" s="14">
        <v>10073</v>
      </c>
      <c r="D23" s="14">
        <v>3033</v>
      </c>
    </row>
    <row r="24" spans="1:4" ht="16" thickTop="1" x14ac:dyDescent="0.2">
      <c r="A24" t="s">
        <v>75</v>
      </c>
    </row>
    <row r="25" spans="1:4" x14ac:dyDescent="0.2">
      <c r="A25" s="1" t="s">
        <v>76</v>
      </c>
      <c r="B25" s="15">
        <v>23.46</v>
      </c>
      <c r="C25" s="15">
        <v>20.68</v>
      </c>
      <c r="D25" s="15">
        <v>6.32</v>
      </c>
    </row>
    <row r="26" spans="1:4" x14ac:dyDescent="0.2">
      <c r="A26" s="1" t="s">
        <v>77</v>
      </c>
      <c r="B26" s="15">
        <v>23.01</v>
      </c>
      <c r="C26" s="15">
        <v>20.14</v>
      </c>
      <c r="D26" s="15">
        <v>6.15</v>
      </c>
    </row>
    <row r="27" spans="1:4" x14ac:dyDescent="0.2">
      <c r="A27" t="s">
        <v>78</v>
      </c>
    </row>
    <row r="28" spans="1:4" x14ac:dyDescent="0.2">
      <c r="A28" s="1" t="s">
        <v>76</v>
      </c>
      <c r="B28" s="16">
        <v>494</v>
      </c>
      <c r="C28" s="16">
        <v>487</v>
      </c>
      <c r="D28" s="16">
        <v>480</v>
      </c>
    </row>
    <row r="29" spans="1:4" x14ac:dyDescent="0.2">
      <c r="A29" s="1" t="s">
        <v>77</v>
      </c>
      <c r="B29" s="16">
        <v>504</v>
      </c>
      <c r="C29" s="16">
        <v>500</v>
      </c>
      <c r="D29" s="16">
        <v>493</v>
      </c>
    </row>
    <row r="32" spans="1:4" x14ac:dyDescent="0.2">
      <c r="A32" s="38" t="s">
        <v>12</v>
      </c>
      <c r="B32" s="38"/>
      <c r="C32" s="38"/>
      <c r="D32" s="38"/>
    </row>
    <row r="33" spans="1:4" x14ac:dyDescent="0.2">
      <c r="B33" s="37" t="s">
        <v>58</v>
      </c>
      <c r="C33" s="37"/>
      <c r="D33" s="37"/>
    </row>
    <row r="34" spans="1:4" x14ac:dyDescent="0.2">
      <c r="B34" s="9">
        <v>2019</v>
      </c>
      <c r="C34" s="9">
        <v>2018</v>
      </c>
      <c r="D34" s="9">
        <v>2017</v>
      </c>
    </row>
    <row r="36" spans="1:4" x14ac:dyDescent="0.2">
      <c r="A36" t="s">
        <v>79</v>
      </c>
    </row>
    <row r="37" spans="1:4" x14ac:dyDescent="0.2">
      <c r="A37" s="1" t="s">
        <v>80</v>
      </c>
      <c r="B37" s="10">
        <v>36092</v>
      </c>
      <c r="C37" s="10">
        <v>31750</v>
      </c>
      <c r="D37" s="10">
        <v>20522</v>
      </c>
    </row>
    <row r="38" spans="1:4" x14ac:dyDescent="0.2">
      <c r="A38" s="1" t="s">
        <v>81</v>
      </c>
      <c r="B38" s="10">
        <v>18929</v>
      </c>
      <c r="C38" s="10">
        <v>9500</v>
      </c>
      <c r="D38" s="10">
        <v>10464</v>
      </c>
    </row>
    <row r="39" spans="1:4" x14ac:dyDescent="0.2">
      <c r="A39" s="1" t="s">
        <v>82</v>
      </c>
      <c r="B39" s="10">
        <v>20816</v>
      </c>
      <c r="C39" s="10">
        <v>16677</v>
      </c>
      <c r="D39" s="10">
        <v>13164</v>
      </c>
    </row>
    <row r="40" spans="1:4" x14ac:dyDescent="0.2">
      <c r="A40" s="1" t="s">
        <v>83</v>
      </c>
      <c r="B40" s="10">
        <v>20497</v>
      </c>
      <c r="C40" s="10">
        <v>17174</v>
      </c>
      <c r="D40" s="10">
        <v>16047</v>
      </c>
    </row>
    <row r="41" spans="1:4" x14ac:dyDescent="0.2">
      <c r="A41" s="11" t="s">
        <v>84</v>
      </c>
      <c r="B41" s="12">
        <f>SUM(B37:B40)</f>
        <v>96334</v>
      </c>
      <c r="C41" s="12">
        <f>SUM(C37:C40)</f>
        <v>75101</v>
      </c>
      <c r="D41" s="12">
        <f>SUM(D37:D40)</f>
        <v>60197</v>
      </c>
    </row>
    <row r="42" spans="1:4" x14ac:dyDescent="0.2">
      <c r="A42" t="s">
        <v>85</v>
      </c>
      <c r="B42" s="10"/>
      <c r="C42" s="10"/>
      <c r="D42" s="10"/>
    </row>
    <row r="43" spans="1:4" x14ac:dyDescent="0.2">
      <c r="A43" s="1" t="s">
        <v>151</v>
      </c>
      <c r="B43" s="10">
        <v>25141</v>
      </c>
      <c r="C43" s="10"/>
      <c r="D43" s="10"/>
    </row>
    <row r="44" spans="1:4" x14ac:dyDescent="0.2">
      <c r="A44" s="1" t="s">
        <v>128</v>
      </c>
      <c r="B44" s="10">
        <v>14754</v>
      </c>
      <c r="C44" s="10">
        <v>14548</v>
      </c>
      <c r="D44" s="10">
        <v>13350</v>
      </c>
    </row>
    <row r="45" spans="1:4" x14ac:dyDescent="0.2">
      <c r="A45" s="1" t="s">
        <v>86</v>
      </c>
      <c r="B45" s="10">
        <v>72705</v>
      </c>
      <c r="C45" s="10">
        <v>61797</v>
      </c>
      <c r="D45" s="10">
        <v>48866</v>
      </c>
    </row>
    <row r="46" spans="1:4" x14ac:dyDescent="0.2">
      <c r="A46" s="1" t="s">
        <v>87</v>
      </c>
      <c r="B46" s="10">
        <v>16314</v>
      </c>
      <c r="C46" s="10">
        <v>11202</v>
      </c>
      <c r="D46" s="10">
        <v>8897</v>
      </c>
    </row>
    <row r="47" spans="1:4" x14ac:dyDescent="0.2">
      <c r="A47" s="11" t="s">
        <v>88</v>
      </c>
      <c r="B47" s="12">
        <f>SUM(B43:B46)</f>
        <v>128914</v>
      </c>
      <c r="C47" s="12">
        <f>SUM(C44:C46)</f>
        <v>87547</v>
      </c>
      <c r="D47" s="12">
        <f>SUM(D44:D46)</f>
        <v>71113</v>
      </c>
    </row>
    <row r="48" spans="1:4" ht="16" thickBot="1" x14ac:dyDescent="0.25">
      <c r="A48" s="13" t="s">
        <v>89</v>
      </c>
      <c r="B48" s="14">
        <f>SUM(B41,B47)</f>
        <v>225248</v>
      </c>
      <c r="C48" s="14">
        <f>SUM(C41,C47)</f>
        <v>162648</v>
      </c>
      <c r="D48" s="14">
        <f>SUM(D41,D47)</f>
        <v>131310</v>
      </c>
    </row>
    <row r="49" spans="1:5" ht="16" thickTop="1" x14ac:dyDescent="0.2"/>
    <row r="50" spans="1:5" x14ac:dyDescent="0.2">
      <c r="A50" t="s">
        <v>90</v>
      </c>
    </row>
    <row r="51" spans="1:5" x14ac:dyDescent="0.2">
      <c r="A51" s="1" t="s">
        <v>91</v>
      </c>
      <c r="B51" s="10">
        <v>47183</v>
      </c>
      <c r="C51" s="10">
        <v>38192</v>
      </c>
      <c r="D51" s="10">
        <v>34616</v>
      </c>
    </row>
    <row r="52" spans="1:5" x14ac:dyDescent="0.2">
      <c r="A52" s="1" t="s">
        <v>129</v>
      </c>
      <c r="B52" s="10">
        <v>32439</v>
      </c>
      <c r="C52" s="10">
        <v>23663</v>
      </c>
      <c r="D52" s="10">
        <v>18170</v>
      </c>
    </row>
    <row r="53" spans="1:5" x14ac:dyDescent="0.2">
      <c r="A53" s="1" t="s">
        <v>130</v>
      </c>
      <c r="B53" s="10">
        <v>8190</v>
      </c>
      <c r="C53" s="10">
        <v>6536</v>
      </c>
      <c r="D53" s="10">
        <v>5097</v>
      </c>
    </row>
    <row r="54" spans="1:5" x14ac:dyDescent="0.2">
      <c r="A54" s="11" t="s">
        <v>93</v>
      </c>
      <c r="B54" s="12">
        <f>SUM(B51:B53)</f>
        <v>87812</v>
      </c>
      <c r="C54" s="12">
        <f>SUM(C51:C53)</f>
        <v>68391</v>
      </c>
      <c r="D54" s="12">
        <f>SUM(D51:D53)</f>
        <v>57883</v>
      </c>
    </row>
    <row r="55" spans="1:5" x14ac:dyDescent="0.2">
      <c r="A55" t="s">
        <v>94</v>
      </c>
      <c r="C55" s="10"/>
      <c r="D55" s="10"/>
    </row>
    <row r="56" spans="1:5" x14ac:dyDescent="0.2">
      <c r="A56" s="1" t="s">
        <v>154</v>
      </c>
      <c r="B56" s="10">
        <v>24743</v>
      </c>
      <c r="C56" s="10">
        <v>39791</v>
      </c>
      <c r="D56" s="10">
        <v>9650</v>
      </c>
    </row>
    <row r="57" spans="1:5" x14ac:dyDescent="0.2">
      <c r="A57" s="1" t="s">
        <v>152</v>
      </c>
      <c r="B57" s="10">
        <v>39791</v>
      </c>
      <c r="C57" s="10">
        <v>9650</v>
      </c>
      <c r="D57" s="10">
        <v>24743</v>
      </c>
    </row>
    <row r="58" spans="1:5" x14ac:dyDescent="0.2">
      <c r="A58" s="1" t="s">
        <v>95</v>
      </c>
      <c r="B58" s="10">
        <v>12171</v>
      </c>
      <c r="C58" s="10">
        <v>17563</v>
      </c>
      <c r="D58" s="10">
        <v>20975</v>
      </c>
    </row>
    <row r="59" spans="1:5" x14ac:dyDescent="0.2">
      <c r="A59" s="24" t="s">
        <v>96</v>
      </c>
      <c r="B59" s="10">
        <f>SUM(B56:B58)</f>
        <v>76705</v>
      </c>
      <c r="C59" s="10">
        <f>SUM(C56:C58)</f>
        <v>67004</v>
      </c>
      <c r="D59" s="10">
        <f>SUM(D56:D58)</f>
        <v>55368</v>
      </c>
      <c r="E59" t="s">
        <v>131</v>
      </c>
    </row>
    <row r="60" spans="1:5" x14ac:dyDescent="0.2">
      <c r="A60" s="11" t="s">
        <v>97</v>
      </c>
      <c r="B60" s="12">
        <f>SUM(B54,B59)</f>
        <v>164517</v>
      </c>
      <c r="C60" s="12">
        <f>SUM(C54,C59)</f>
        <v>135395</v>
      </c>
      <c r="D60" s="12">
        <f>SUM(D54+D59)</f>
        <v>113251</v>
      </c>
    </row>
    <row r="61" spans="1:5" x14ac:dyDescent="0.2">
      <c r="B61" s="10"/>
      <c r="C61" s="10"/>
      <c r="D61" s="10"/>
    </row>
    <row r="62" spans="1:5" x14ac:dyDescent="0.2">
      <c r="A62" t="s">
        <v>98</v>
      </c>
      <c r="B62" s="10"/>
      <c r="C62" s="10"/>
      <c r="D62" s="10"/>
    </row>
    <row r="63" spans="1:5" x14ac:dyDescent="0.2">
      <c r="A63" s="1" t="s">
        <v>153</v>
      </c>
      <c r="B63" s="10">
        <v>33658</v>
      </c>
      <c r="C63" s="10">
        <v>26971</v>
      </c>
      <c r="D63" s="10">
        <v>21389</v>
      </c>
    </row>
    <row r="64" spans="1:5" x14ac:dyDescent="0.2">
      <c r="A64" s="1" t="s">
        <v>99</v>
      </c>
      <c r="B64" s="10">
        <v>31220</v>
      </c>
      <c r="C64">
        <v>19625</v>
      </c>
      <c r="D64" s="10">
        <v>8636</v>
      </c>
    </row>
    <row r="65" spans="1:4" x14ac:dyDescent="0.2">
      <c r="A65" s="1" t="s">
        <v>100</v>
      </c>
      <c r="B65" s="10">
        <v>-986</v>
      </c>
      <c r="C65" s="10">
        <v>-1035</v>
      </c>
      <c r="D65" s="10">
        <v>-484</v>
      </c>
    </row>
    <row r="66" spans="1:4" x14ac:dyDescent="0.2">
      <c r="A66" s="11" t="s">
        <v>101</v>
      </c>
      <c r="B66" s="12">
        <v>62060</v>
      </c>
      <c r="C66" s="12">
        <v>43549</v>
      </c>
      <c r="D66" s="12">
        <v>27709</v>
      </c>
    </row>
    <row r="67" spans="1:4" ht="16" thickBot="1" x14ac:dyDescent="0.25">
      <c r="A67" s="13" t="s">
        <v>102</v>
      </c>
      <c r="B67" s="14">
        <v>225248</v>
      </c>
      <c r="C67" s="14">
        <v>162648</v>
      </c>
      <c r="D67" s="14">
        <v>131310</v>
      </c>
    </row>
    <row r="68" spans="1:4" ht="16" thickTop="1" x14ac:dyDescent="0.2"/>
    <row r="69" spans="1:4" x14ac:dyDescent="0.2">
      <c r="A69" s="38" t="s">
        <v>13</v>
      </c>
      <c r="B69" s="38"/>
      <c r="C69" s="38"/>
      <c r="D69" s="38"/>
    </row>
    <row r="70" spans="1:4" x14ac:dyDescent="0.2">
      <c r="B70" s="37" t="s">
        <v>57</v>
      </c>
      <c r="C70" s="37"/>
      <c r="D70" s="37"/>
    </row>
    <row r="71" spans="1:4" x14ac:dyDescent="0.2">
      <c r="B71" s="9">
        <v>2019</v>
      </c>
      <c r="C71" s="9">
        <v>2018</v>
      </c>
      <c r="D71" s="9">
        <v>2017</v>
      </c>
    </row>
    <row r="73" spans="1:4" x14ac:dyDescent="0.2">
      <c r="A73" s="9" t="s">
        <v>103</v>
      </c>
      <c r="B73" s="17"/>
      <c r="C73" s="17"/>
      <c r="D73" s="17"/>
    </row>
    <row r="74" spans="1:4" x14ac:dyDescent="0.2">
      <c r="A74" t="s">
        <v>104</v>
      </c>
      <c r="B74" s="10"/>
      <c r="C74" s="10"/>
      <c r="D74" s="10"/>
    </row>
    <row r="75" spans="1:4" x14ac:dyDescent="0.2">
      <c r="A75" s="18" t="s">
        <v>74</v>
      </c>
      <c r="B75" s="17">
        <v>11588</v>
      </c>
      <c r="C75" s="17">
        <v>10073</v>
      </c>
      <c r="D75" s="17">
        <v>3033</v>
      </c>
    </row>
    <row r="76" spans="1:4" x14ac:dyDescent="0.2">
      <c r="A76" s="1" t="s">
        <v>105</v>
      </c>
      <c r="B76" s="10"/>
      <c r="C76" s="10"/>
    </row>
    <row r="77" spans="1:4" x14ac:dyDescent="0.2">
      <c r="A77" s="19" t="s">
        <v>106</v>
      </c>
      <c r="B77" s="10">
        <v>21789</v>
      </c>
      <c r="C77" s="10">
        <v>15341</v>
      </c>
      <c r="D77" s="10">
        <v>11478</v>
      </c>
    </row>
    <row r="78" spans="1:4" x14ac:dyDescent="0.2">
      <c r="A78" s="19" t="s">
        <v>107</v>
      </c>
      <c r="B78" s="10">
        <v>6864</v>
      </c>
      <c r="C78" s="10">
        <v>5418</v>
      </c>
      <c r="D78" s="10">
        <v>4215</v>
      </c>
    </row>
    <row r="79" spans="1:4" x14ac:dyDescent="0.2">
      <c r="A79" s="19" t="s">
        <v>108</v>
      </c>
      <c r="B79" s="10">
        <v>796</v>
      </c>
      <c r="C79" s="10">
        <v>441</v>
      </c>
      <c r="D79" s="10">
        <v>-29</v>
      </c>
    </row>
    <row r="80" spans="1:4" x14ac:dyDescent="0.2">
      <c r="A80" s="19" t="s">
        <v>132</v>
      </c>
      <c r="B80" s="10">
        <v>164</v>
      </c>
      <c r="C80" s="10">
        <v>274</v>
      </c>
      <c r="D80" s="10">
        <v>202</v>
      </c>
    </row>
    <row r="81" spans="1:4" x14ac:dyDescent="0.2">
      <c r="A81" s="19" t="s">
        <v>133</v>
      </c>
      <c r="B81" s="10">
        <v>-249</v>
      </c>
      <c r="C81" s="10">
        <v>219</v>
      </c>
      <c r="D81" s="10">
        <v>-292</v>
      </c>
    </row>
    <row r="82" spans="1:4" x14ac:dyDescent="0.2">
      <c r="A82" t="s">
        <v>109</v>
      </c>
      <c r="B82" s="10"/>
      <c r="C82" s="10"/>
      <c r="D82" s="10"/>
    </row>
    <row r="83" spans="1:4" x14ac:dyDescent="0.2">
      <c r="A83" s="1" t="s">
        <v>82</v>
      </c>
      <c r="B83" s="10">
        <v>-7681</v>
      </c>
      <c r="C83" s="10">
        <v>-4615</v>
      </c>
      <c r="D83" s="10">
        <v>-4780</v>
      </c>
    </row>
    <row r="84" spans="1:4" x14ac:dyDescent="0.2">
      <c r="A84" s="1" t="s">
        <v>83</v>
      </c>
      <c r="B84" s="10">
        <v>-3583</v>
      </c>
      <c r="C84" s="10">
        <v>-1314</v>
      </c>
      <c r="D84" s="10">
        <v>-3583</v>
      </c>
    </row>
    <row r="85" spans="1:4" x14ac:dyDescent="0.2">
      <c r="A85" s="1" t="s">
        <v>91</v>
      </c>
      <c r="B85" s="10">
        <v>8193</v>
      </c>
      <c r="C85" s="10">
        <v>3263</v>
      </c>
      <c r="D85" s="10">
        <v>7100</v>
      </c>
    </row>
    <row r="86" spans="1:4" x14ac:dyDescent="0.2">
      <c r="A86" s="1" t="s">
        <v>92</v>
      </c>
      <c r="B86" s="10">
        <v>1711</v>
      </c>
      <c r="C86" s="10">
        <v>1151</v>
      </c>
      <c r="D86" s="10">
        <v>738</v>
      </c>
    </row>
    <row r="87" spans="1:4" x14ac:dyDescent="0.2">
      <c r="A87" s="25" t="s">
        <v>110</v>
      </c>
      <c r="B87" s="10"/>
      <c r="C87" s="10"/>
      <c r="D87" s="10">
        <v>283</v>
      </c>
    </row>
    <row r="88" spans="1:4" x14ac:dyDescent="0.2">
      <c r="A88" s="11" t="s">
        <v>111</v>
      </c>
      <c r="B88" s="12">
        <v>38514</v>
      </c>
      <c r="C88" s="12">
        <v>30723</v>
      </c>
      <c r="D88" s="12">
        <v>18365</v>
      </c>
    </row>
    <row r="89" spans="1:4" x14ac:dyDescent="0.2">
      <c r="A89" s="9" t="s">
        <v>112</v>
      </c>
      <c r="B89" s="10"/>
      <c r="C89" s="10"/>
      <c r="D89" s="10"/>
    </row>
    <row r="90" spans="1:4" x14ac:dyDescent="0.2">
      <c r="A90" s="1" t="s">
        <v>134</v>
      </c>
      <c r="B90" s="10">
        <v>22681</v>
      </c>
      <c r="C90" s="10">
        <v>8240</v>
      </c>
      <c r="D90" s="10">
        <v>9677</v>
      </c>
    </row>
    <row r="91" spans="1:4" x14ac:dyDescent="0.2">
      <c r="A91" s="1" t="s">
        <v>143</v>
      </c>
      <c r="B91" s="10">
        <v>4172</v>
      </c>
      <c r="C91" s="10">
        <v>2104</v>
      </c>
      <c r="D91" s="10">
        <v>1897</v>
      </c>
    </row>
    <row r="92" spans="1:4" x14ac:dyDescent="0.2">
      <c r="A92" s="1" t="s">
        <v>144</v>
      </c>
      <c r="B92" s="10">
        <v>-16861</v>
      </c>
      <c r="C92" s="10">
        <v>-13427</v>
      </c>
      <c r="D92" s="10">
        <v>-11955</v>
      </c>
    </row>
    <row r="93" spans="1:4" x14ac:dyDescent="0.2">
      <c r="A93" s="1" t="s">
        <v>145</v>
      </c>
      <c r="B93" s="10">
        <v>-31812</v>
      </c>
      <c r="C93" s="10">
        <v>-7100</v>
      </c>
      <c r="D93" s="10">
        <v>-12731</v>
      </c>
    </row>
    <row r="94" spans="1:4" x14ac:dyDescent="0.2">
      <c r="A94" s="1" t="s">
        <v>135</v>
      </c>
      <c r="B94" s="10">
        <v>-2461</v>
      </c>
      <c r="C94" s="10">
        <v>-2186</v>
      </c>
      <c r="D94" s="10">
        <v>-13972</v>
      </c>
    </row>
    <row r="95" spans="1:4" x14ac:dyDescent="0.2">
      <c r="A95" s="11" t="s">
        <v>113</v>
      </c>
      <c r="B95" s="17">
        <f>SUM(B90:B94)</f>
        <v>-24281</v>
      </c>
      <c r="C95" s="17">
        <f>SUM(C90:C94)</f>
        <v>-12369</v>
      </c>
      <c r="D95" s="17">
        <f>SUM(D90:D94)</f>
        <v>-27084</v>
      </c>
    </row>
    <row r="96" spans="1:4" x14ac:dyDescent="0.2">
      <c r="A96" s="9" t="s">
        <v>114</v>
      </c>
      <c r="B96" s="10"/>
      <c r="C96" s="10"/>
    </row>
    <row r="97" spans="1:4" x14ac:dyDescent="0.2">
      <c r="A97" s="1" t="s">
        <v>136</v>
      </c>
      <c r="B97" s="28">
        <v>2273</v>
      </c>
      <c r="C97" s="28">
        <v>768</v>
      </c>
      <c r="D97" s="28">
        <v>16228</v>
      </c>
    </row>
    <row r="98" spans="1:4" x14ac:dyDescent="0.2">
      <c r="A98" s="1" t="s">
        <v>137</v>
      </c>
      <c r="B98" s="10">
        <v>-2648</v>
      </c>
      <c r="C98" s="10">
        <v>-668</v>
      </c>
      <c r="D98" s="10">
        <v>-1301</v>
      </c>
    </row>
    <row r="99" spans="1:4" x14ac:dyDescent="0.2">
      <c r="A99" s="1" t="s">
        <v>138</v>
      </c>
      <c r="B99" s="10">
        <v>-9628</v>
      </c>
      <c r="C99" s="10">
        <v>-7449</v>
      </c>
      <c r="D99" s="10">
        <v>-4799</v>
      </c>
    </row>
    <row r="100" spans="1:4" x14ac:dyDescent="0.2">
      <c r="A100" s="1" t="s">
        <v>139</v>
      </c>
      <c r="B100" s="10">
        <v>-27</v>
      </c>
      <c r="C100" s="10">
        <v>-337</v>
      </c>
      <c r="D100" s="10">
        <v>-200</v>
      </c>
    </row>
    <row r="101" spans="1:4" x14ac:dyDescent="0.2">
      <c r="A101" s="11" t="s">
        <v>115</v>
      </c>
      <c r="B101" s="10">
        <f>SUM(B97:B100)</f>
        <v>-10030</v>
      </c>
      <c r="C101" s="10">
        <f>SUM(C97:C100)</f>
        <v>-7686</v>
      </c>
      <c r="D101" s="10">
        <f>SUM(D97:D100)</f>
        <v>9928</v>
      </c>
    </row>
    <row r="102" spans="1:4" x14ac:dyDescent="0.2">
      <c r="A102" s="11" t="s">
        <v>140</v>
      </c>
      <c r="B102" s="10">
        <v>70</v>
      </c>
      <c r="C102" s="10">
        <v>-351</v>
      </c>
      <c r="D102" s="10">
        <v>713</v>
      </c>
    </row>
    <row r="103" spans="1:4" x14ac:dyDescent="0.2">
      <c r="A103" s="11" t="s">
        <v>116</v>
      </c>
      <c r="B103" s="10">
        <v>4237</v>
      </c>
      <c r="C103" s="10">
        <v>10317</v>
      </c>
      <c r="D103" s="10">
        <v>1922</v>
      </c>
    </row>
    <row r="104" spans="1:4" ht="16" thickBot="1" x14ac:dyDescent="0.25">
      <c r="A104" s="13" t="s">
        <v>117</v>
      </c>
      <c r="B104" s="10">
        <v>36410</v>
      </c>
      <c r="C104" s="10">
        <v>32173</v>
      </c>
      <c r="D104" s="10">
        <v>21856</v>
      </c>
    </row>
    <row r="105" spans="1:4" ht="16" thickTop="1" x14ac:dyDescent="0.2">
      <c r="B105" s="12"/>
      <c r="C105" s="12"/>
      <c r="D105" s="12"/>
    </row>
    <row r="106" spans="1:4" x14ac:dyDescent="0.2">
      <c r="A106" t="s">
        <v>118</v>
      </c>
      <c r="B106" s="28"/>
      <c r="C106" s="28"/>
      <c r="D106" s="28"/>
    </row>
    <row r="107" spans="1:4" ht="16" thickBot="1" x14ac:dyDescent="0.25">
      <c r="A107" t="s">
        <v>119</v>
      </c>
      <c r="B107" s="29">
        <v>881</v>
      </c>
      <c r="C107" s="29">
        <v>1184</v>
      </c>
      <c r="D107" s="31">
        <v>957</v>
      </c>
    </row>
    <row r="108" spans="1:4" ht="16" thickTop="1" x14ac:dyDescent="0.2">
      <c r="A108" t="s">
        <v>149</v>
      </c>
      <c r="B108" s="35">
        <v>3361</v>
      </c>
      <c r="C108" s="33"/>
      <c r="D108" s="34"/>
    </row>
    <row r="109" spans="1:4" x14ac:dyDescent="0.2">
      <c r="A109" t="s">
        <v>146</v>
      </c>
      <c r="B109" s="32">
        <v>875</v>
      </c>
      <c r="C109" s="30">
        <v>854</v>
      </c>
      <c r="D109" s="30">
        <v>328</v>
      </c>
    </row>
    <row r="110" spans="1:4" x14ac:dyDescent="0.2">
      <c r="A110" t="s">
        <v>147</v>
      </c>
      <c r="B110" s="32">
        <v>647</v>
      </c>
      <c r="C110" s="30">
        <v>381</v>
      </c>
      <c r="D110" s="30">
        <v>200</v>
      </c>
    </row>
    <row r="111" spans="1:4" x14ac:dyDescent="0.2">
      <c r="A111" t="s">
        <v>148</v>
      </c>
      <c r="B111" s="32">
        <v>39</v>
      </c>
      <c r="C111" s="30">
        <v>194</v>
      </c>
      <c r="D111" s="30">
        <v>119</v>
      </c>
    </row>
    <row r="112" spans="1:4" x14ac:dyDescent="0.2">
      <c r="A112" t="s">
        <v>141</v>
      </c>
      <c r="B112" s="10">
        <v>13723</v>
      </c>
      <c r="C112" s="30">
        <v>10615</v>
      </c>
      <c r="D112" s="10">
        <v>9637</v>
      </c>
    </row>
    <row r="113" spans="1:4" x14ac:dyDescent="0.2">
      <c r="A113" t="s">
        <v>142</v>
      </c>
      <c r="B113" s="10">
        <v>1362</v>
      </c>
      <c r="C113" s="10">
        <v>3641</v>
      </c>
      <c r="D113" s="10">
        <v>3541</v>
      </c>
    </row>
    <row r="114" spans="1:4" x14ac:dyDescent="0.2">
      <c r="A114" t="s">
        <v>150</v>
      </c>
      <c r="B114" s="10">
        <v>7870</v>
      </c>
      <c r="C114" s="10"/>
      <c r="D114" s="10"/>
    </row>
  </sheetData>
  <mergeCells count="6">
    <mergeCell ref="B70:D70"/>
    <mergeCell ref="A2:D2"/>
    <mergeCell ref="B3:D3"/>
    <mergeCell ref="A32:D32"/>
    <mergeCell ref="B33:D33"/>
    <mergeCell ref="A69:D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8"/>
  <sheetViews>
    <sheetView tabSelected="1" topLeftCell="A41" zoomScale="115" workbookViewId="0">
      <selection activeCell="C51" sqref="C51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0.1640625" bestFit="1" customWidth="1"/>
    <col min="4" max="5" width="9.1640625" bestFit="1" customWidth="1"/>
  </cols>
  <sheetData>
    <row r="1" spans="1:10" ht="60" customHeight="1" x14ac:dyDescent="0.3">
      <c r="A1" s="7"/>
      <c r="B1" s="20" t="s">
        <v>59</v>
      </c>
      <c r="C1" s="21"/>
      <c r="D1" s="21"/>
      <c r="E1" s="21"/>
      <c r="F1" s="21"/>
      <c r="G1" s="21"/>
      <c r="H1" s="21"/>
      <c r="I1" s="21"/>
      <c r="J1" s="21"/>
    </row>
    <row r="2" spans="1:10" x14ac:dyDescent="0.2">
      <c r="C2" s="37" t="s">
        <v>60</v>
      </c>
      <c r="D2" s="37"/>
      <c r="E2" s="37"/>
    </row>
    <row r="3" spans="1:10" x14ac:dyDescent="0.2">
      <c r="C3" s="9">
        <v>2019</v>
      </c>
      <c r="D3" s="9">
        <v>2018</v>
      </c>
      <c r="E3" s="9">
        <v>2017</v>
      </c>
    </row>
    <row r="4" spans="1:10" x14ac:dyDescent="0.2">
      <c r="A4" s="22">
        <v>1</v>
      </c>
      <c r="B4" s="9" t="s">
        <v>14</v>
      </c>
    </row>
    <row r="5" spans="1:10" x14ac:dyDescent="0.2">
      <c r="A5" s="22">
        <f>+A4+0.1</f>
        <v>1.1000000000000001</v>
      </c>
      <c r="B5" s="1" t="s">
        <v>15</v>
      </c>
      <c r="C5" s="39">
        <f>'Financial Statements'!B41/'Financial Statements'!B54</f>
        <v>1.0970482394205803</v>
      </c>
      <c r="D5" s="39">
        <f>'Financial Statements'!C41/'Financial Statements'!C54</f>
        <v>1.0981123247210891</v>
      </c>
      <c r="E5" s="39">
        <f>'Financial Statements'!D41/'Financial Statements'!D54</f>
        <v>1.039977195376881</v>
      </c>
    </row>
    <row r="6" spans="1:10" x14ac:dyDescent="0.2">
      <c r="A6" s="22">
        <f t="shared" ref="A6:A13" si="0">+A5+0.1</f>
        <v>1.2000000000000002</v>
      </c>
      <c r="B6" s="1" t="s">
        <v>16</v>
      </c>
      <c r="C6" s="39">
        <f>('Financial Statements'!B37+'Financial Statements'!B39)/'Financial Statements'!B54</f>
        <v>0.64806632350931537</v>
      </c>
      <c r="D6" s="39">
        <f>('Financial Statements'!C37+'Financial Statements'!C39)/'Financial Statements'!C54</f>
        <v>0.70809024579257507</v>
      </c>
      <c r="E6" s="39">
        <f>('Financial Statements'!D37+'Financial Statements'!D39)/'Financial Statements'!D54</f>
        <v>0.58196707150631444</v>
      </c>
    </row>
    <row r="7" spans="1:10" x14ac:dyDescent="0.2">
      <c r="A7" s="22">
        <f t="shared" si="0"/>
        <v>1.3000000000000003</v>
      </c>
      <c r="B7" s="1" t="s">
        <v>17</v>
      </c>
      <c r="C7" s="39">
        <f>'Financial Statements'!B37/'Financial Statements'!B54</f>
        <v>0.41101443993987152</v>
      </c>
      <c r="D7" s="39">
        <f>'Financial Statements'!C37/'Financial Statements'!C54</f>
        <v>0.46424237107221711</v>
      </c>
      <c r="E7" s="39">
        <f>'Financial Statements'!D37/'Financial Statements'!D54</f>
        <v>0.35454278458269267</v>
      </c>
    </row>
    <row r="8" spans="1:10" x14ac:dyDescent="0.2">
      <c r="A8" s="22">
        <f t="shared" si="0"/>
        <v>1.4000000000000004</v>
      </c>
      <c r="B8" s="1" t="s">
        <v>18</v>
      </c>
      <c r="C8" s="39">
        <f>'Financial Statements'!B41/('Financial Statements'!B18-'Financial Statements'!B77)</f>
        <v>0.39450104835539246</v>
      </c>
      <c r="D8" s="39">
        <f>'Financial Statements'!C41/('Financial Statements'!C18-'Financial Statements'!C77)</f>
        <v>0.36612309567336987</v>
      </c>
      <c r="E8" s="39">
        <f>'Financial Statements'!D41/('Financial Statements'!D18-'Financial Statements'!D77)</f>
        <v>0.37094070815001046</v>
      </c>
    </row>
    <row r="9" spans="1:10" x14ac:dyDescent="0.2">
      <c r="A9" s="22">
        <f t="shared" si="0"/>
        <v>1.5000000000000004</v>
      </c>
      <c r="B9" s="1" t="s">
        <v>19</v>
      </c>
      <c r="C9" s="39">
        <f>'Financial Statements'!B40/('Financial Statements'!B19/365)</f>
        <v>514.50416064919887</v>
      </c>
      <c r="D9" s="39">
        <f>'Financial Statements'!C40/('Financial Statements'!C19/365)</f>
        <v>504.67031639964574</v>
      </c>
      <c r="E9" s="39">
        <f>'Financial Statements'!D40/('Financial Statements'!D19/365)</f>
        <v>1426.4868485143693</v>
      </c>
    </row>
    <row r="10" spans="1:10" x14ac:dyDescent="0.2">
      <c r="A10" s="22">
        <f t="shared" si="0"/>
        <v>1.6000000000000005</v>
      </c>
      <c r="B10" s="1" t="s">
        <v>20</v>
      </c>
      <c r="C10" s="39">
        <f>'Financial Statements'!B51/'Financial Statements'!B18*365</f>
        <v>64.748215098070915</v>
      </c>
      <c r="D10" s="39">
        <f>'Financial Statements'!C51/'Financial Statements'!C18*365</f>
        <v>63.230067221249534</v>
      </c>
      <c r="E10" s="39">
        <f>'Financial Statements'!D51/'Financial Statements'!D18*365</f>
        <v>72.714318600368316</v>
      </c>
    </row>
    <row r="11" spans="1:10" x14ac:dyDescent="0.2">
      <c r="A11" s="22">
        <f t="shared" si="0"/>
        <v>1.7000000000000006</v>
      </c>
      <c r="B11" s="1" t="s">
        <v>21</v>
      </c>
      <c r="C11" s="39">
        <f>'Financial Statements'!B39/'Financial Statements'!B8*365</f>
        <v>27.084649332316179</v>
      </c>
      <c r="D11" s="39">
        <f>'Financial Statements'!C39/'Financial Statements'!C8*365</f>
        <v>26.137590333509387</v>
      </c>
      <c r="E11" s="39">
        <f>'Financial Statements'!D39/'Financial Statements'!D8*365</f>
        <v>27.013931836326226</v>
      </c>
    </row>
    <row r="12" spans="1:10" x14ac:dyDescent="0.2">
      <c r="A12" s="22">
        <f t="shared" si="0"/>
        <v>1.8000000000000007</v>
      </c>
      <c r="B12" s="1" t="s">
        <v>22</v>
      </c>
      <c r="C12" s="39">
        <f>C9+C11-C10</f>
        <v>476.84059488344417</v>
      </c>
      <c r="D12" s="39">
        <f t="shared" ref="D12:E12" si="1">D9+D11-D10</f>
        <v>467.57783951190561</v>
      </c>
      <c r="E12" s="39">
        <f t="shared" si="1"/>
        <v>1380.7864617503271</v>
      </c>
    </row>
    <row r="13" spans="1:10" x14ac:dyDescent="0.2">
      <c r="A13" s="22">
        <f t="shared" si="0"/>
        <v>1.9000000000000008</v>
      </c>
      <c r="B13" s="1" t="s">
        <v>23</v>
      </c>
      <c r="C13" s="36">
        <f>C14/'Financial Statements'!B8</f>
        <v>3.0379079002716365E-2</v>
      </c>
      <c r="D13" s="36">
        <f>D14/'Financial Statements'!C8</f>
        <v>2.8812256587958968E-2</v>
      </c>
      <c r="E13" s="36">
        <f>E14/'Financial Statements'!D8</f>
        <v>1.3009793889782196E-2</v>
      </c>
    </row>
    <row r="14" spans="1:10" x14ac:dyDescent="0.2">
      <c r="A14" s="22"/>
      <c r="B14" s="19" t="s">
        <v>24</v>
      </c>
      <c r="C14">
        <f>'Financial Statements'!B41-'Financial Statements'!B54</f>
        <v>8522</v>
      </c>
      <c r="D14">
        <f>'Financial Statements'!C41-'Financial Statements'!C54</f>
        <v>6710</v>
      </c>
      <c r="E14">
        <f>'Financial Statements'!D41-'Financial Statements'!D54</f>
        <v>2314</v>
      </c>
    </row>
    <row r="15" spans="1:10" x14ac:dyDescent="0.2">
      <c r="A15" s="22"/>
    </row>
    <row r="16" spans="1:10" x14ac:dyDescent="0.2">
      <c r="A16" s="22">
        <f>+A4+1</f>
        <v>2</v>
      </c>
      <c r="B16" s="23" t="s">
        <v>25</v>
      </c>
    </row>
    <row r="17" spans="1:5" x14ac:dyDescent="0.2">
      <c r="A17" s="22">
        <f>+A16+0.1</f>
        <v>2.1</v>
      </c>
      <c r="B17" s="1" t="s">
        <v>11</v>
      </c>
      <c r="C17">
        <f>'Financial Statements'!B8-'Financial Statements'!B9</f>
        <v>114986</v>
      </c>
      <c r="D17">
        <f>'Financial Statements'!C8-'Financial Statements'!C9</f>
        <v>93731</v>
      </c>
      <c r="E17">
        <f>'Financial Statements'!D8-'Financial Statements'!D9</f>
        <v>65932</v>
      </c>
    </row>
    <row r="18" spans="1:5" x14ac:dyDescent="0.2">
      <c r="A18" s="22">
        <f>+A17+0.1</f>
        <v>2.2000000000000002</v>
      </c>
      <c r="B18" s="1" t="s">
        <v>26</v>
      </c>
      <c r="C18" s="36">
        <f>C19/'Financial Statements'!B8</f>
        <v>0.12950855904349748</v>
      </c>
      <c r="D18" s="36">
        <f>D19/'Financial Statements'!C8</f>
        <v>0.11920802792770743</v>
      </c>
      <c r="E18" s="36">
        <f>E19/'Financial Statements'!D8</f>
        <v>8.7616520301800227E-2</v>
      </c>
    </row>
    <row r="19" spans="1:5" x14ac:dyDescent="0.2">
      <c r="A19" s="22"/>
      <c r="B19" s="19" t="s">
        <v>27</v>
      </c>
      <c r="C19">
        <f>'Financial Statements'!B19+'Financial Statements'!B77</f>
        <v>36330</v>
      </c>
      <c r="D19">
        <f>'Financial Statements'!C19+'Financial Statements'!C77</f>
        <v>27762</v>
      </c>
      <c r="E19">
        <f>'Financial Statements'!D19+'Financial Statements'!D77</f>
        <v>15584</v>
      </c>
    </row>
    <row r="20" spans="1:5" x14ac:dyDescent="0.2">
      <c r="A20" s="22">
        <f>+A18+0.1</f>
        <v>2.3000000000000003</v>
      </c>
      <c r="B20" s="1" t="s">
        <v>28</v>
      </c>
      <c r="C20" s="36">
        <f>C21/'Financial Statements'!B8</f>
        <v>6.0540706254767894E-2</v>
      </c>
      <c r="D20" s="36">
        <f>D21/'Financial Statements'!C8</f>
        <v>6.4554912897671402E-2</v>
      </c>
      <c r="E20" s="36">
        <f>E21/'Financial Statements'!D8</f>
        <v>3.2102818976083115E-2</v>
      </c>
    </row>
    <row r="21" spans="1:5" x14ac:dyDescent="0.2">
      <c r="A21" s="22"/>
      <c r="B21" s="19" t="s">
        <v>29</v>
      </c>
      <c r="C21">
        <f>'Financial Statements'!B19+'Financial Statements'!B107+'Financial Statements'!B109+'Financial Statements'!B110+'Financial Statements'!B111</f>
        <v>16983</v>
      </c>
      <c r="D21">
        <f>'Financial Statements'!C19+'Financial Statements'!C107+'Financial Statements'!C109+'Financial Statements'!C110+'Financial Statements'!C111</f>
        <v>15034</v>
      </c>
      <c r="E21">
        <f>'Financial Statements'!D19+'Financial Statements'!D107+'Financial Statements'!D109+'Financial Statements'!D110+'Financial Statements'!D111</f>
        <v>5710</v>
      </c>
    </row>
    <row r="22" spans="1:5" x14ac:dyDescent="0.2">
      <c r="A22" s="22">
        <f>+A20+0.1</f>
        <v>2.4000000000000004</v>
      </c>
      <c r="B22" s="1" t="s">
        <v>30</v>
      </c>
      <c r="C22">
        <f>'Financial Statements'!B23/'Financial Statements'!B8</f>
        <v>4.1308703060722513E-2</v>
      </c>
      <c r="D22">
        <f>'Financial Statements'!C23/'Financial Statements'!C8</f>
        <v>4.3252736305590261E-2</v>
      </c>
      <c r="E22">
        <f>'Financial Statements'!D23/'Financial Statements'!D8</f>
        <v>1.7052162864178651E-2</v>
      </c>
    </row>
    <row r="23" spans="1:5" x14ac:dyDescent="0.2">
      <c r="A23" s="22"/>
    </row>
    <row r="24" spans="1:5" x14ac:dyDescent="0.2">
      <c r="A24" s="22">
        <f>+A16+1</f>
        <v>3</v>
      </c>
      <c r="B24" s="9" t="s">
        <v>31</v>
      </c>
    </row>
    <row r="25" spans="1:5" x14ac:dyDescent="0.2">
      <c r="A25" s="22">
        <f>+A24+0.1</f>
        <v>3.1</v>
      </c>
      <c r="B25" s="1" t="s">
        <v>32</v>
      </c>
      <c r="C25" s="39">
        <f>'Financial Statements'!B56/'Financial Statements'!B66</f>
        <v>0.39869481147276831</v>
      </c>
      <c r="D25" s="39">
        <f>'Financial Statements'!C56/'Financial Statements'!C66</f>
        <v>0.91370639968770806</v>
      </c>
      <c r="E25" s="39">
        <f>'Financial Statements'!D56/'Financial Statements'!D66</f>
        <v>0.34826229744848242</v>
      </c>
    </row>
    <row r="26" spans="1:5" x14ac:dyDescent="0.2">
      <c r="A26" s="22">
        <f t="shared" ref="A26:A30" si="2">+A25+0.1</f>
        <v>3.2</v>
      </c>
      <c r="B26" s="1" t="s">
        <v>33</v>
      </c>
      <c r="C26" s="39">
        <f>'Financial Statements'!B56/'Financial Statements'!B48</f>
        <v>0.10984781218923143</v>
      </c>
      <c r="D26" s="39">
        <f>'Financial Statements'!C56/'Financial Statements'!C48</f>
        <v>0.24464487728099946</v>
      </c>
      <c r="E26" s="39">
        <f>'Financial Statements'!D56/'Financial Statements'!D48</f>
        <v>7.3490213997410708E-2</v>
      </c>
    </row>
    <row r="27" spans="1:5" x14ac:dyDescent="0.2">
      <c r="A27" s="22">
        <f t="shared" si="2"/>
        <v>3.3000000000000003</v>
      </c>
      <c r="B27" s="1" t="s">
        <v>34</v>
      </c>
      <c r="C27" s="39">
        <f>'Financial Statements'!B56/('Financial Statements'!B56+'Financial Statements'!B66)</f>
        <v>0.28504775180581315</v>
      </c>
      <c r="D27" s="39">
        <f>'Financial Statements'!C56/('Financial Statements'!C56+'Financial Statements'!C66)</f>
        <v>0.47745380369570434</v>
      </c>
      <c r="E27" s="39">
        <f>'Financial Statements'!D56/('Financial Statements'!D56+'Financial Statements'!D66)</f>
        <v>0.25830455847319256</v>
      </c>
    </row>
    <row r="28" spans="1:5" x14ac:dyDescent="0.2">
      <c r="A28" s="22">
        <f t="shared" si="2"/>
        <v>3.4000000000000004</v>
      </c>
      <c r="B28" s="1" t="s">
        <v>35</v>
      </c>
      <c r="C28" s="39">
        <f>C21/('Financial Statements'!B109+'Financial Statements'!B110+'Financial Statements'!B111)</f>
        <v>10.879564381806535</v>
      </c>
      <c r="D28" s="39">
        <f>D21/('Financial Statements'!C109+'Financial Statements'!C110+'Financial Statements'!C111)</f>
        <v>10.520643806857942</v>
      </c>
      <c r="E28" s="39">
        <f>E21/('Financial Statements'!D109+'Financial Statements'!D110+'Financial Statements'!D111)</f>
        <v>8.8253477588871707</v>
      </c>
    </row>
    <row r="29" spans="1:5" x14ac:dyDescent="0.2">
      <c r="A29" s="22">
        <f t="shared" si="2"/>
        <v>3.5000000000000004</v>
      </c>
      <c r="B29" s="1" t="s">
        <v>36</v>
      </c>
      <c r="C29" s="39">
        <f>'Financial Statements'!B19/('Financial Statements'!B109+'Financial Statements'!B110+'Financial Statements'!B111+'Financial Statements'!B98)</f>
        <v>-13.377184912603497</v>
      </c>
      <c r="D29" s="39">
        <f>'Financial Statements'!C19/('Financial Statements'!C109+'Financial Statements'!C110+'Financial Statements'!C111+'Financial Statements'!C98)</f>
        <v>16.321944809461236</v>
      </c>
      <c r="E29" s="39">
        <f>'Financial Statements'!D19/('Financial Statements'!D109+'Financial Statements'!D110+'Financial Statements'!D111+'Financial Statements'!D98)</f>
        <v>-6.2782874617736999</v>
      </c>
    </row>
    <row r="30" spans="1:5" x14ac:dyDescent="0.2">
      <c r="A30" s="22">
        <f t="shared" si="2"/>
        <v>3.6000000000000005</v>
      </c>
      <c r="B30" s="1" t="s">
        <v>37</v>
      </c>
      <c r="C30" s="39">
        <f>C31/'Financial Statements'!B29</f>
        <v>233.79563492063491</v>
      </c>
      <c r="D30" s="39">
        <f>D31/'Financial Statements'!C29</f>
        <v>143.024</v>
      </c>
      <c r="E30" s="39">
        <f>E31/'Financial Statements'!D29</f>
        <v>98.864097363083161</v>
      </c>
    </row>
    <row r="31" spans="1:5" x14ac:dyDescent="0.2">
      <c r="A31" s="22"/>
      <c r="B31" s="19" t="s">
        <v>38</v>
      </c>
      <c r="C31" s="39">
        <f>'Financial Statements'!B23+'Financial Statements'!B77+'Financial Statements'!B78+'Financial Statements'!B48-'Financial Statements'!B60-'Financial Statements'!B92</f>
        <v>117833</v>
      </c>
      <c r="D31" s="39">
        <f>'Financial Statements'!C23+'Financial Statements'!C77+'Financial Statements'!C78+'Financial Statements'!C48-'Financial Statements'!C60-'Financial Statements'!C92</f>
        <v>71512</v>
      </c>
      <c r="E31" s="39">
        <f>'Financial Statements'!D23+'Financial Statements'!D77+'Financial Statements'!D78+'Financial Statements'!D48-'Financial Statements'!D60-'Financial Statements'!D92</f>
        <v>48740</v>
      </c>
    </row>
    <row r="32" spans="1:5" x14ac:dyDescent="0.2">
      <c r="A32" s="22"/>
      <c r="C32" s="39"/>
      <c r="D32" s="39"/>
      <c r="E32" s="39"/>
    </row>
    <row r="33" spans="1:5" x14ac:dyDescent="0.2">
      <c r="A33" s="22">
        <f>+A24+1</f>
        <v>4</v>
      </c>
      <c r="B33" s="23" t="s">
        <v>39</v>
      </c>
      <c r="C33" s="39"/>
      <c r="D33" s="39"/>
      <c r="E33" s="39"/>
    </row>
    <row r="34" spans="1:5" x14ac:dyDescent="0.2">
      <c r="A34" s="22">
        <f>+A33+0.1</f>
        <v>4.0999999999999996</v>
      </c>
      <c r="B34" s="1" t="s">
        <v>40</v>
      </c>
      <c r="C34" s="39">
        <f>'Financial Statements'!B8/'Financial Statements'!B48</f>
        <v>1.2453917459866459</v>
      </c>
      <c r="D34" s="39">
        <f>'Financial Statements'!C8/'Financial Statements'!C48</f>
        <v>1.431846687324775</v>
      </c>
      <c r="E34" s="39">
        <f>'Financial Statements'!D8/'Financial Statements'!D48</f>
        <v>1.3545503008148656</v>
      </c>
    </row>
    <row r="35" spans="1:5" x14ac:dyDescent="0.2">
      <c r="A35" s="22">
        <f t="shared" ref="A35:A37" si="3">+A34+0.1</f>
        <v>4.1999999999999993</v>
      </c>
      <c r="B35" s="1" t="s">
        <v>41</v>
      </c>
      <c r="C35" s="39">
        <f>'Financial Statements'!B8/'Financial Statements'!B47</f>
        <v>2.1760398405138308</v>
      </c>
      <c r="D35" s="39">
        <f>'Financial Statements'!C8/'Financial Statements'!C47</f>
        <v>2.6601368407826653</v>
      </c>
      <c r="E35" s="39">
        <f>'Financial Statements'!D8/'Financial Statements'!D47</f>
        <v>2.5011741875606428</v>
      </c>
    </row>
    <row r="36" spans="1:5" x14ac:dyDescent="0.2">
      <c r="A36" s="22">
        <f t="shared" si="3"/>
        <v>4.2999999999999989</v>
      </c>
      <c r="B36" s="1" t="s">
        <v>42</v>
      </c>
      <c r="C36" s="39">
        <f>'Financial Statements'!B9/'Financial Statements'!B40</f>
        <v>8.0761086988339752</v>
      </c>
      <c r="D36" s="39">
        <f>'Financial Statements'!C9/'Financial Statements'!C40</f>
        <v>8.1027134039827651</v>
      </c>
      <c r="E36" s="39">
        <f>'Financial Statements'!D9/'Financial Statements'!D40</f>
        <v>6.9753848071290587</v>
      </c>
    </row>
    <row r="37" spans="1:5" x14ac:dyDescent="0.2">
      <c r="A37" s="22">
        <f t="shared" si="3"/>
        <v>4.3999999999999986</v>
      </c>
      <c r="B37" s="1" t="s">
        <v>43</v>
      </c>
      <c r="C37" s="39">
        <f>'Financial Statements'!B23/'Financial Statements'!B48</f>
        <v>5.1445517829237106E-2</v>
      </c>
      <c r="D37" s="39">
        <f>'Financial Statements'!C23/'Financial Statements'!C48</f>
        <v>6.1931287196891449E-2</v>
      </c>
      <c r="E37" s="39">
        <f>'Financial Statements'!D23/'Financial Statements'!D48</f>
        <v>2.3098012337217273E-2</v>
      </c>
    </row>
    <row r="38" spans="1:5" x14ac:dyDescent="0.2">
      <c r="A38" s="22"/>
      <c r="C38" s="39"/>
      <c r="D38" s="39"/>
      <c r="E38" s="39"/>
    </row>
    <row r="39" spans="1:5" x14ac:dyDescent="0.2">
      <c r="A39" s="22">
        <f>+A33+1</f>
        <v>5</v>
      </c>
      <c r="B39" s="23" t="s">
        <v>44</v>
      </c>
      <c r="C39" s="39"/>
      <c r="D39" s="39"/>
      <c r="E39" s="39"/>
    </row>
    <row r="40" spans="1:5" x14ac:dyDescent="0.2">
      <c r="A40" s="22">
        <f>+A39+0.1</f>
        <v>5.0999999999999996</v>
      </c>
      <c r="B40" s="1" t="s">
        <v>45</v>
      </c>
      <c r="C40" s="39">
        <f>'Financial Statements'!B63/'Financial Statements'!B64</f>
        <v>1.0780909673286354</v>
      </c>
      <c r="D40" s="39">
        <f>'Financial Statements'!C63/'Financial Statements'!C64</f>
        <v>1.3743184713375796</v>
      </c>
      <c r="E40" s="39">
        <f>'Financial Statements'!D63/'Financial Statements'!D64</f>
        <v>2.476725335803613</v>
      </c>
    </row>
    <row r="41" spans="1:5" x14ac:dyDescent="0.2">
      <c r="A41" s="22">
        <f t="shared" ref="A41:A44" si="4">+A40+0.1</f>
        <v>5.1999999999999993</v>
      </c>
      <c r="B41" s="19" t="s">
        <v>46</v>
      </c>
      <c r="C41" s="39">
        <f>'Financial Statements'!B23/'Financial Statements'!B29*1000</f>
        <v>22992.063492063491</v>
      </c>
      <c r="D41" s="39">
        <f>'Financial Statements'!C23/'Financial Statements'!C29*1000</f>
        <v>20146</v>
      </c>
      <c r="E41" s="39">
        <f>'Financial Statements'!D23/'Financial Statements'!D29*1000</f>
        <v>6152.129817444219</v>
      </c>
    </row>
    <row r="42" spans="1:5" x14ac:dyDescent="0.2">
      <c r="A42" s="22">
        <f t="shared" si="4"/>
        <v>5.2999999999999989</v>
      </c>
      <c r="B42" s="1" t="s">
        <v>47</v>
      </c>
      <c r="C42" s="39">
        <f>93.49/C43</f>
        <v>0.77586339760583556</v>
      </c>
      <c r="D42" s="39">
        <f>73.9/D43</f>
        <v>1.3558140388214142</v>
      </c>
      <c r="E42" s="39">
        <f>58.47/E43</f>
        <v>1.5961963563873969</v>
      </c>
    </row>
    <row r="43" spans="1:5" x14ac:dyDescent="0.2">
      <c r="A43" s="22">
        <f t="shared" si="4"/>
        <v>5.3999999999999986</v>
      </c>
      <c r="B43" s="19" t="s">
        <v>48</v>
      </c>
      <c r="C43" s="39">
        <f>('Financial Statements'!B48-'Financial Statements'!B60)/'Financial Statements'!B29</f>
        <v>120.49801587301587</v>
      </c>
      <c r="D43" s="39">
        <f>('Financial Statements'!C48-'Financial Statements'!C60)/'Financial Statements'!C29</f>
        <v>54.506</v>
      </c>
      <c r="E43" s="39">
        <f>('Financial Statements'!D48-'Financial Statements'!D60)/'Financial Statements'!D29</f>
        <v>36.630831643002026</v>
      </c>
    </row>
    <row r="44" spans="1:5" x14ac:dyDescent="0.2">
      <c r="A44" s="22">
        <f t="shared" si="4"/>
        <v>5.4999999999999982</v>
      </c>
      <c r="B44" s="1" t="s">
        <v>49</v>
      </c>
    </row>
    <row r="45" spans="1:5" x14ac:dyDescent="0.2">
      <c r="A45" s="22"/>
      <c r="B45" s="19" t="s">
        <v>50</v>
      </c>
    </row>
    <row r="46" spans="1:5" x14ac:dyDescent="0.2">
      <c r="A46" s="22">
        <f>+A44+0.1</f>
        <v>5.5999999999999979</v>
      </c>
      <c r="B46" s="1" t="s">
        <v>51</v>
      </c>
    </row>
    <row r="47" spans="1:5" x14ac:dyDescent="0.2">
      <c r="A47" s="22">
        <f t="shared" ref="A47:A50" si="5">+A45+0.1</f>
        <v>0.1</v>
      </c>
      <c r="B47" s="1" t="s">
        <v>52</v>
      </c>
      <c r="C47" s="39">
        <f>'Financial Statements'!B23/'Financial Statements'!B66</f>
        <v>0.1867225265871737</v>
      </c>
      <c r="D47" s="39">
        <f>'Financial Statements'!C23/'Financial Statements'!C66</f>
        <v>0.231302670555007</v>
      </c>
      <c r="E47" s="39">
        <f>'Financial Statements'!D23/'Financial Statements'!D66</f>
        <v>0.10945902053484427</v>
      </c>
    </row>
    <row r="48" spans="1:5" x14ac:dyDescent="0.2">
      <c r="A48" s="22">
        <f t="shared" si="5"/>
        <v>5.6999999999999975</v>
      </c>
      <c r="B48" s="1" t="s">
        <v>53</v>
      </c>
      <c r="C48" s="39">
        <f>C21/('Financial Statements'!B66+'Financial Statements'!B56)</f>
        <v>0.19564991993364284</v>
      </c>
      <c r="D48" s="39">
        <f>D21/('Financial Statements'!C66+'Financial Statements'!C56)</f>
        <v>0.18039356851451885</v>
      </c>
      <c r="E48" s="39">
        <f>E21/('Financial Statements'!D66+'Financial Statements'!D56)</f>
        <v>0.15284135014320513</v>
      </c>
    </row>
    <row r="49" spans="1:5" x14ac:dyDescent="0.2">
      <c r="A49" s="22">
        <f t="shared" si="5"/>
        <v>0.2</v>
      </c>
      <c r="B49" s="1" t="s">
        <v>43</v>
      </c>
      <c r="C49" s="39">
        <f>'Financial Statements'!B23/'Financial Statements'!B48</f>
        <v>5.1445517829237106E-2</v>
      </c>
      <c r="D49" s="39">
        <f>'Financial Statements'!C23/'Financial Statements'!C48</f>
        <v>6.1931287196891449E-2</v>
      </c>
      <c r="E49" s="39">
        <f>'Financial Statements'!D23/'Financial Statements'!D48</f>
        <v>2.3098012337217273E-2</v>
      </c>
    </row>
    <row r="50" spans="1:5" x14ac:dyDescent="0.2">
      <c r="A50" s="22">
        <f t="shared" si="5"/>
        <v>5.7999999999999972</v>
      </c>
      <c r="B50" s="1" t="s">
        <v>54</v>
      </c>
      <c r="C50" s="39" t="e">
        <f>C51/C19</f>
        <v>#VALUE!</v>
      </c>
      <c r="D50" s="39">
        <f t="shared" ref="D50:E50" si="6">D51/D19</f>
        <v>0.32660034267254051</v>
      </c>
      <c r="E50" s="39">
        <f t="shared" si="6"/>
        <v>-0.55916617401738899</v>
      </c>
    </row>
    <row r="51" spans="1:5" x14ac:dyDescent="0.2">
      <c r="A51" s="22"/>
      <c r="B51" s="19" t="s">
        <v>55</v>
      </c>
      <c r="C51" s="39" t="e">
        <f xml:space="preserve"> 93.49/1000*'List of Ratios'!B29 + 'Financial Statements'!B56 -'Financial Statements'!B88</f>
        <v>#VALUE!</v>
      </c>
      <c r="D51" s="39">
        <f>68.87/1000*'List of Ratios'!C29+'Financial Statements'!C56-'Financial Statements'!C88</f>
        <v>9067.0787132750702</v>
      </c>
      <c r="E51" s="39">
        <f>58.47/1000*'List of Ratios'!D29+'Financial Statements'!D56-'Financial Statements'!D88</f>
        <v>-8714.0456558869901</v>
      </c>
    </row>
    <row r="53" spans="1:5" x14ac:dyDescent="0.2">
      <c r="B53" s="1" t="s">
        <v>155</v>
      </c>
      <c r="C53" s="36">
        <f>('Financial Statements'!B8-'Financial Statements'!C8)/'Financial Statements'!C8</f>
        <v>0.2045412582067698</v>
      </c>
      <c r="D53" s="36">
        <f>('Financial Statements'!C8-'Financial Statements'!D8)/'Financial Statements'!D8</f>
        <v>0.3093396152159491</v>
      </c>
    </row>
    <row r="54" spans="1:5" x14ac:dyDescent="0.2">
      <c r="B54" s="1" t="s">
        <v>156</v>
      </c>
      <c r="C54" s="36">
        <f>('Financial Statements'!B10-'Financial Statements'!C10)/'Financial Statements'!C10</f>
        <v>0.22676595790080123</v>
      </c>
      <c r="D54" s="36">
        <f>('Financial Statements'!C10-'Financial Statements'!D10)/'Financial Statements'!D10</f>
        <v>0.42163137778317056</v>
      </c>
    </row>
    <row r="55" spans="1:5" x14ac:dyDescent="0.2">
      <c r="B55" s="1" t="s">
        <v>157</v>
      </c>
      <c r="C55" s="36">
        <f>('Financial Statements'!B18-'Financial Statements'!C18)/'Financial Statements'!C18</f>
        <v>0.20644906697631379</v>
      </c>
      <c r="D55" s="36">
        <f>('Financial Statements'!C18-'Financial Statements'!D18)/'Financial Statements'!D18</f>
        <v>0.26879604051565376</v>
      </c>
    </row>
    <row r="56" spans="1:5" x14ac:dyDescent="0.2">
      <c r="B56" s="1" t="s">
        <v>158</v>
      </c>
      <c r="C56" s="36">
        <f>('Financial Statements'!B19-'Financial Statements'!C19)/'Financial Statements'!C19</f>
        <v>0.17067868931648014</v>
      </c>
      <c r="D56" s="36">
        <f>('Financial Statements'!C19-'Financial Statements'!D19)/'Financial Statements'!D19</f>
        <v>2.02508524111057</v>
      </c>
    </row>
    <row r="57" spans="1:5" x14ac:dyDescent="0.2">
      <c r="B57" s="1" t="s">
        <v>159</v>
      </c>
      <c r="C57" s="36">
        <f>('Financial Statements'!B23-'Financial Statements'!C23)/'Financial Statements'!C23</f>
        <v>0.15040206492603991</v>
      </c>
      <c r="D57" s="36">
        <f>('Financial Statements'!C23-'Financial Statements'!D23)/'Financial Statements'!D23</f>
        <v>2.3211341905703922</v>
      </c>
    </row>
    <row r="58" spans="1:5" x14ac:dyDescent="0.2">
      <c r="B58" s="1" t="s">
        <v>168</v>
      </c>
      <c r="C58" s="36">
        <f>('Financial Statements'!B23-'Financial Statements'!C23)/'Financial Statements'!C23</f>
        <v>0.15040206492603991</v>
      </c>
      <c r="D58" s="36">
        <f>('Financial Statements'!C23-'Financial Statements'!D23)/'Financial Statements'!D23</f>
        <v>2.3211341905703922</v>
      </c>
    </row>
    <row r="60" spans="1:5" x14ac:dyDescent="0.2">
      <c r="B60" s="1" t="s">
        <v>160</v>
      </c>
      <c r="C60" s="36">
        <f>'Financial Statements'!B9/'Financial Statements'!B8</f>
        <v>0.59009988521399392</v>
      </c>
      <c r="D60" s="36">
        <f>'Financial Statements'!C9/'Financial Statements'!C8</f>
        <v>0.59752583871147813</v>
      </c>
      <c r="E60" s="36">
        <f>'Financial Statements'!D9/'Financial Statements'!D8</f>
        <v>0.6293164517108385</v>
      </c>
    </row>
    <row r="61" spans="1:5" x14ac:dyDescent="0.2">
      <c r="B61" s="1" t="s">
        <v>161</v>
      </c>
      <c r="C61" s="36">
        <f>'Financial Statements'!B10/'Financial Statements'!B8</f>
        <v>0.40990011478600608</v>
      </c>
      <c r="D61" s="36">
        <f>'Financial Statements'!C10/'Financial Statements'!C8</f>
        <v>0.40247416128852193</v>
      </c>
      <c r="E61" s="36">
        <f>'Financial Statements'!D10/'Financial Statements'!D8</f>
        <v>0.3706835482891615</v>
      </c>
    </row>
    <row r="62" spans="1:5" x14ac:dyDescent="0.2">
      <c r="B62" s="1" t="s">
        <v>162</v>
      </c>
      <c r="C62" s="36">
        <f>'Financial Statements'!B16/'Financial Statements'!B8</f>
        <v>1.8547564896870834E-2</v>
      </c>
      <c r="D62" s="36">
        <f>'Financial Statements'!C16/'Financial Statements'!C8</f>
        <v>1.8618471619283171E-2</v>
      </c>
      <c r="E62" s="36">
        <f>'Financial Statements'!D16/'Financial Statements'!D8</f>
        <v>2.0655999460267842E-2</v>
      </c>
    </row>
    <row r="63" spans="1:5" x14ac:dyDescent="0.2">
      <c r="B63" s="1" t="s">
        <v>163</v>
      </c>
      <c r="C63" s="36">
        <f>'Financial Statements'!B19/'Financial Statements'!B8</f>
        <v>5.1835506662579051E-2</v>
      </c>
      <c r="D63" s="36">
        <f>'Financial Statements'!C19/'Financial Statements'!C8</f>
        <v>5.3334879147397665E-2</v>
      </c>
      <c r="E63" s="36">
        <f>'Financial Statements'!D19/'Financial Statements'!D8</f>
        <v>2.3084794170892695E-2</v>
      </c>
    </row>
    <row r="64" spans="1:5" x14ac:dyDescent="0.2">
      <c r="B64" s="1" t="s">
        <v>164</v>
      </c>
      <c r="C64" s="36">
        <f>'Financial Statements'!B23/'Financial Statements'!B8</f>
        <v>4.1308703060722513E-2</v>
      </c>
      <c r="D64" s="36">
        <f>'Financial Statements'!C23/'Financial Statements'!C8</f>
        <v>4.3252736305590261E-2</v>
      </c>
      <c r="E64" s="36">
        <f>'Financial Statements'!D23/'Financial Statements'!D8</f>
        <v>1.7052162864178651E-2</v>
      </c>
    </row>
    <row r="66" spans="2:5" x14ac:dyDescent="0.2">
      <c r="B66" s="1" t="s">
        <v>165</v>
      </c>
      <c r="C66">
        <f>'Financial Statements'!B107/'Financial Statements'!B21</f>
        <v>6.303663423010876E-2</v>
      </c>
      <c r="D66">
        <f>'Financial Statements'!C107/'Financial Statements'!C21</f>
        <v>0.10514163928603143</v>
      </c>
      <c r="E66">
        <f>'Financial Statements'!D107/'Financial Statements'!D21</f>
        <v>0.25144508670520233</v>
      </c>
    </row>
    <row r="67" spans="2:5" x14ac:dyDescent="0.2">
      <c r="B67" s="1" t="s">
        <v>166</v>
      </c>
      <c r="C67" s="36">
        <f>'Financial Statements'!B92/'Financial Statements'!B8</f>
        <v>-6.0105802753438235E-2</v>
      </c>
      <c r="D67" s="36">
        <f>'Financial Statements'!C92/'Financial Statements'!C8</f>
        <v>-5.7654570671613274E-2</v>
      </c>
      <c r="E67" s="36">
        <f>'Financial Statements'!D92/'Financial Statements'!D8</f>
        <v>-6.7213520290555814E-2</v>
      </c>
    </row>
    <row r="68" spans="2:5" x14ac:dyDescent="0.2">
      <c r="B68" s="1" t="s">
        <v>167</v>
      </c>
      <c r="C68" s="36">
        <f>'Financial Statements'!B92/'Financial Statements'!B48</f>
        <v>-7.4855270635033389E-2</v>
      </c>
      <c r="D68" s="36">
        <f>'Financial Statements'!C92/'Financial Statements'!C48</f>
        <v>-8.2552506025281594E-2</v>
      </c>
      <c r="E68" s="36">
        <f>'Financial Statements'!D92/'Financial Statements'!D48</f>
        <v>-9.1044094128398451E-2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2020-05-19T16:15:53Z</dcterms:created>
  <dcterms:modified xsi:type="dcterms:W3CDTF">2023-08-30T19:05:50Z</dcterms:modified>
</cp:coreProperties>
</file>