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52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D13" i="3" l="1"/>
  <c r="C13" i="3"/>
  <c r="D14" i="3"/>
  <c r="E14" i="3"/>
  <c r="C14" i="3"/>
  <c r="E46" i="3"/>
  <c r="D46" i="3"/>
  <c r="C46" i="3"/>
  <c r="E42" i="3"/>
  <c r="D42" i="3"/>
  <c r="C42" i="3"/>
  <c r="F17" i="1"/>
  <c r="G17" i="1"/>
  <c r="E17" i="1"/>
  <c r="F12" i="1"/>
  <c r="G12" i="1"/>
  <c r="E12" i="1"/>
  <c r="F8" i="1"/>
  <c r="G8" i="1"/>
  <c r="E8" i="1"/>
  <c r="D50" i="3"/>
  <c r="E50" i="3"/>
  <c r="C50" i="3"/>
  <c r="E51" i="3"/>
  <c r="D51" i="3"/>
  <c r="C51" i="3"/>
  <c r="D49" i="3"/>
  <c r="E49" i="3"/>
  <c r="C49" i="3"/>
  <c r="D48" i="3"/>
  <c r="E48" i="3"/>
  <c r="C48" i="3"/>
  <c r="D47" i="3"/>
  <c r="E47" i="3"/>
  <c r="C47" i="3"/>
  <c r="E45" i="3"/>
  <c r="E44" i="3" s="1"/>
  <c r="D45" i="3"/>
  <c r="D44" i="3" s="1"/>
  <c r="C45" i="3"/>
  <c r="C44" i="3" s="1"/>
  <c r="D43" i="3"/>
  <c r="E43" i="3"/>
  <c r="C43" i="3"/>
  <c r="D41" i="3"/>
  <c r="E41" i="3"/>
  <c r="C41" i="3"/>
  <c r="D40" i="3"/>
  <c r="E40" i="3"/>
  <c r="C40" i="3"/>
  <c r="C20" i="3"/>
  <c r="D35" i="3"/>
  <c r="E35" i="3"/>
  <c r="C35" i="3"/>
  <c r="D37" i="3"/>
  <c r="E37" i="3"/>
  <c r="C37" i="3"/>
  <c r="D36" i="3"/>
  <c r="E36" i="3"/>
  <c r="C36" i="3"/>
  <c r="D34" i="3"/>
  <c r="E34" i="3"/>
  <c r="C34" i="3"/>
  <c r="D30" i="3"/>
  <c r="E30" i="3"/>
  <c r="C30" i="3"/>
  <c r="D29" i="3"/>
  <c r="E29" i="3"/>
  <c r="C29" i="3"/>
  <c r="E28" i="3"/>
  <c r="C28" i="3"/>
  <c r="D27" i="3"/>
  <c r="E27" i="3"/>
  <c r="C27" i="3"/>
  <c r="D26" i="3"/>
  <c r="E26" i="3"/>
  <c r="C26" i="3"/>
  <c r="E25" i="3"/>
  <c r="D25" i="3"/>
  <c r="C25" i="3"/>
  <c r="E22" i="3"/>
  <c r="D22" i="3"/>
  <c r="C22" i="3"/>
  <c r="E21" i="3"/>
  <c r="E20" i="3" s="1"/>
  <c r="D21" i="3"/>
  <c r="D28" i="3" s="1"/>
  <c r="C21" i="3"/>
  <c r="E19" i="3"/>
  <c r="E18" i="3" s="1"/>
  <c r="D19" i="3"/>
  <c r="D18" i="3" s="1"/>
  <c r="C19" i="3"/>
  <c r="C18" i="3" s="1"/>
  <c r="D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E8" i="3" s="1"/>
  <c r="C42" i="1"/>
  <c r="B42" i="1"/>
  <c r="C8" i="3" s="1"/>
  <c r="D17" i="1"/>
  <c r="C17" i="1"/>
  <c r="B17" i="1"/>
  <c r="D12" i="1"/>
  <c r="E9" i="3" s="1"/>
  <c r="C12" i="1"/>
  <c r="D9" i="3" s="1"/>
  <c r="B12" i="1"/>
  <c r="C9" i="3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1" i="3" l="1"/>
  <c r="D11" i="3"/>
  <c r="E11" i="3"/>
  <c r="D8" i="3"/>
  <c r="D6" i="3"/>
  <c r="D7" i="3"/>
  <c r="B13" i="1"/>
  <c r="B18" i="1" s="1"/>
  <c r="B20" i="1" s="1"/>
  <c r="B22" i="1" s="1"/>
  <c r="B76" i="1" s="1"/>
  <c r="B91" i="1" s="1"/>
  <c r="B109" i="1" s="1"/>
  <c r="D10" i="3"/>
  <c r="D12" i="3" s="1"/>
  <c r="C13" i="1"/>
  <c r="C18" i="1" s="1"/>
  <c r="C20" i="1" s="1"/>
  <c r="C22" i="1" s="1"/>
  <c r="C76" i="1" s="1"/>
  <c r="C91" i="1" s="1"/>
  <c r="C109" i="1" s="1"/>
  <c r="E10" i="3"/>
  <c r="E12" i="3" s="1"/>
  <c r="B48" i="1"/>
  <c r="E6" i="3"/>
  <c r="E7" i="3"/>
  <c r="D13" i="1"/>
  <c r="D18" i="1" s="1"/>
  <c r="D20" i="1" s="1"/>
  <c r="D22" i="1" s="1"/>
  <c r="D76" i="1" s="1"/>
  <c r="D91" i="1" s="1"/>
  <c r="D109" i="1" s="1"/>
  <c r="C10" i="3"/>
  <c r="B62" i="1"/>
  <c r="C7" i="3"/>
  <c r="C6" i="3"/>
  <c r="C62" i="1"/>
  <c r="C69" i="1" s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2" i="3" l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<sst xmlns="http://schemas.openxmlformats.org/spreadsheetml/2006/main" count="192" uniqueCount="168">
  <si>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</si>
  <si>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</si>
  <si>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</si>
  <si>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</si>
  <si>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</si>
  <si>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</si>
  <si>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</si>
  <si>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</si>
  <si>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</si>
  <si>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</si>
  <si>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</si>
  <si>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</si>
  <si>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</si>
  <si>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</si>
  <si>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</si>
  <si>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</si>
  <si>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</si>
  <si>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</si>
  <si>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</si>
  <si>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</si>
  <si>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</si>
  <si>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</si>
  <si>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</si>
  <si>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</si>
  <si>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</si>
  <si>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</si>
  <si>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</si>
  <si>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</si>
  <si>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</si>
  <si>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</si>
  <si>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</si>
  <si>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</si>
  <si>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</si>
  <si>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</si>
  <si>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</si>
  <si>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</si>
  <si>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</si>
  <si>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</si>
  <si>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</si>
  <si>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</si>
  <si>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</si>
  <si>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</si>
  <si>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</si>
  <si>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</si>
  <si>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</si>
  <si>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</si>
  <si>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</si>
  <si>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</si>
  <si>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</si>
  <si>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</si>
  <si>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</si>
  <si>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</si>
  <si>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</si>
  <si>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</si>
  <si>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</si>
  <si>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</si>
  <si>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</si>
  <si>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</si>
  <si>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</si>
  <si>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</si>
  <si>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</si>
  <si>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</si>
  <si>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</si>
  <si>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</si>
  <si>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</si>
  <si>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</si>
  <si>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</si>
  <si>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</si>
  <si>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</si>
  <si>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</si>
  <si>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</si>
  <si>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</si>
  <si>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</si>
  <si>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</si>
  <si>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</si>
  <si>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</si>
  <si>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</si>
  <si>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</si>
  <si>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</si>
  <si>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</si>
  <si>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</si>
  <si>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</si>
  <si>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</si>
  <si>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</si>
  <si>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</si>
  <si>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</si>
  <si>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</si>
  <si>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</si>
  <si>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</si>
  <si>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</si>
  <si>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</si>
  <si>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</si>
  <si>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</si>
  <si>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</si>
  <si>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</si>
  <si>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</si>
  <si>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</si>
  <si>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</si>
  <si>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</si>
  <si>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</si>
  <si>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</si>
  <si>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</si>
  <si>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</si>
  <si>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</si>
  <si>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</si>
  <si>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</si>
  <si>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</si>
  <si>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</si>
  <si>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</si>
  <si>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</si>
  <si>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</si>
  <si>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</si>
  <si>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</si>
  <si>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</si>
  <si>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</si>
  <si>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</si>
  <si>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</si>
  <si>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</si>
  <si>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</si>
  <si>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</si>
  <si>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</si>
  <si>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</si>
  <si>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</si>
  <si>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</si>
  <si>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</si>
  <si>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</si>
  <si>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</si>
  <si>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</si>
  <si>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</si>
  <si>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</si>
  <si>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</si>
  <si>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</si>
  <si>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</si>
  <si>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</si>
  <si>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</si>
  <si>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</si>
  <si>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</si>
  <si>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</si>
  <si>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</si>
  <si>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</si>
  <si>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</si>
  <si>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</si>
  <si>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</si>
  <si>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</si>
  <si>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</si>
  <si>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</si>
  <si>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</si>
  <si>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</si>
  <si>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</si>
  <si>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</si>
  <si>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</t>
  </si>
  <si>
    <t>Daily Operational Expenses = Annual Operating Expenses - Noncash Charges i.e. Depreciation &amp; Amortization</t>
  </si>
  <si>
    <t>If you have divided Cost of sales by 365 again do not multiply by 365 here again</t>
  </si>
  <si>
    <t>Operating income in row 18 Financial Statements sheet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</si>
  <si>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</si>
  <si>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</si>
  <si>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</si>
  <si>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</si>
  <si>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Please link calculation to Financial Statements sheet</t>
  </si>
  <si>
    <t xml:space="preserve">Should be linked to Property Plant and Equipment  under Non-Current Assets </t>
  </si>
  <si>
    <t>Net Income/Diluted number of shares, note that the three statements are in millions and share count is in absolute number, therefore multiply the calculation by 1000</t>
  </si>
  <si>
    <t>Link share count to Diluted number of shares</t>
  </si>
  <si>
    <t>Link share count to Diluted number of shares, link dividends paid with - sign</t>
  </si>
  <si>
    <t>Use only Shareholder equity and Term debt for capital employed. Other items are not actual capital</t>
  </si>
  <si>
    <t>Market capitalization  + Long term debt - Cash &amp; cash equivalents</t>
  </si>
  <si>
    <t>Do  not multiply by 100, use the % formatting instead</t>
  </si>
  <si>
    <t>Operating Income + Deprecation &amp; Amortization in cash flow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</si>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</sst>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#,##0.0000_);\(#,##0.0000\)"/>
    <numFmt numFmtId="167" formatCode="#,##0.00000_);\(#,##0.0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Font="1"/>
    <xf numFmtId="164" fontId="2" fillId="0" borderId="1" xfId="1" applyFont="1" applyBorder="1"/>
    <xf numFmtId="164" fontId="2" fillId="0" borderId="2" xfId="1" applyFont="1" applyBorder="1"/>
    <xf numFmtId="164" fontId="2" fillId="0" borderId="0" xfId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Font="1" applyBorder="1"/>
    <xf numFmtId="0" fontId="2" fillId="0" borderId="3" xfId="0" applyFont="1" applyBorder="1" applyAlignment="1">
      <alignment horizontal="left"/>
    </xf>
    <xf numFmtId="0" fontId="0" fillId="0" borderId="0" xfId="0"/>
    <xf numFmtId="164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NumberFormat="1"/>
    <xf numFmtId="39" fontId="0" fillId="0" borderId="0" xfId="0" applyNumberFormat="1"/>
    <xf numFmtId="4" fontId="8" fillId="0" borderId="0" xfId="0" applyNumberFormat="1" applyFont="1"/>
    <xf numFmtId="166" fontId="0" fillId="0" borderId="0" xfId="0" applyNumberFormat="1"/>
    <xf numFmtId="0" fontId="0" fillId="0" borderId="0" xfId="0" applyFont="1" applyAlignment="1">
      <alignment horizontal="left" indent="1"/>
    </xf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Normal="100" workbookViewId="0">
      <selection activeCell="A27" sqref="A27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workbookViewId="0">
      <selection activeCell="D99" sqref="D99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5" max="5" width="11.109375" bestFit="1" customWidth="1"/>
    <col min="6" max="6" width="11.77734375" bestFit="1" customWidth="1"/>
  </cols>
  <sheetData>
    <row r="1" spans="1:11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3">
      <c r="A2" s="35" t="s">
        <v>1</v>
      </c>
      <c r="B2" s="35"/>
      <c r="C2" s="35"/>
      <c r="D2" s="35"/>
    </row>
    <row r="3" spans="1:11" x14ac:dyDescent="0.3">
      <c r="B3" s="34" t="s">
        <v>23</v>
      </c>
      <c r="C3" s="34"/>
      <c r="D3" s="34"/>
      <c r="E3" t="s">
        <v>150</v>
      </c>
    </row>
    <row r="4" spans="1:11" x14ac:dyDescent="0.3">
      <c r="B4" s="7">
        <v>2022</v>
      </c>
      <c r="C4" s="7">
        <v>2021</v>
      </c>
      <c r="D4" s="7">
        <v>2020</v>
      </c>
    </row>
    <row r="5" spans="1:11" x14ac:dyDescent="0.3">
      <c r="A5" t="s">
        <v>3</v>
      </c>
    </row>
    <row r="6" spans="1:11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5">
        <f>B8/365</f>
        <v>1080.3506849315067</v>
      </c>
      <c r="F8" s="25">
        <f t="shared" ref="F8:G8" si="1">C8/365</f>
        <v>1002.2383561643836</v>
      </c>
      <c r="G8" s="25">
        <f t="shared" si="1"/>
        <v>752.09589041095887</v>
      </c>
    </row>
    <row r="9" spans="1:11" x14ac:dyDescent="0.3">
      <c r="A9" t="s">
        <v>7</v>
      </c>
      <c r="B9" s="12"/>
      <c r="C9" s="12"/>
      <c r="D9" s="12"/>
    </row>
    <row r="10" spans="1:11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3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E12" s="25">
        <f>B12/365</f>
        <v>612.45479452054792</v>
      </c>
      <c r="F12" s="25">
        <f t="shared" ref="F12:G12" si="3">C12/365</f>
        <v>583.50958904109586</v>
      </c>
      <c r="G12" s="25">
        <f t="shared" si="3"/>
        <v>464.54520547945208</v>
      </c>
    </row>
    <row r="13" spans="1:11" x14ac:dyDescent="0.3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</row>
    <row r="14" spans="1:11" x14ac:dyDescent="0.3">
      <c r="A14" t="s">
        <v>10</v>
      </c>
      <c r="B14" s="12"/>
      <c r="C14" s="12"/>
      <c r="D14" s="12"/>
    </row>
    <row r="15" spans="1:11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1" x14ac:dyDescent="0.3">
      <c r="A16" s="1" t="s">
        <v>12</v>
      </c>
      <c r="B16" s="12">
        <v>25094</v>
      </c>
      <c r="C16" s="12">
        <v>21973</v>
      </c>
      <c r="D16" s="12">
        <v>19916</v>
      </c>
      <c r="I16" s="13"/>
      <c r="J16" s="13"/>
      <c r="K16" s="13"/>
    </row>
    <row r="17" spans="1:7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" si="6">+D15+D16</f>
        <v>38668</v>
      </c>
      <c r="E17" s="25">
        <f>B17/365</f>
        <v>140.67123287671234</v>
      </c>
      <c r="F17" s="25">
        <f t="shared" ref="F17:G17" si="7">C17/365</f>
        <v>120.23835616438356</v>
      </c>
      <c r="G17" s="25">
        <f t="shared" si="7"/>
        <v>105.93972602739726</v>
      </c>
    </row>
    <row r="18" spans="1:7" s="21" customFormat="1" x14ac:dyDescent="0.3">
      <c r="A18" s="8" t="s">
        <v>14</v>
      </c>
      <c r="B18" s="13">
        <f>+B13-B17</f>
        <v>119437</v>
      </c>
      <c r="C18" s="13">
        <f t="shared" ref="C18:D18" si="8">+C13-C17</f>
        <v>108949</v>
      </c>
      <c r="D18" s="13">
        <f t="shared" si="8"/>
        <v>66288</v>
      </c>
    </row>
    <row r="19" spans="1:7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3">
      <c r="A20" s="8" t="s">
        <v>16</v>
      </c>
      <c r="B20" s="13">
        <f>+B18+B19</f>
        <v>119103</v>
      </c>
      <c r="C20" s="13">
        <f t="shared" ref="C20:D20" si="9">+C18+C19</f>
        <v>109207</v>
      </c>
      <c r="D20" s="13">
        <f t="shared" si="9"/>
        <v>67091</v>
      </c>
    </row>
    <row r="21" spans="1:7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7" ht="15" thickBot="1" x14ac:dyDescent="0.35">
      <c r="A22" s="9" t="s">
        <v>18</v>
      </c>
      <c r="B22" s="14">
        <f>+B20-B21</f>
        <v>99803</v>
      </c>
      <c r="C22" s="14">
        <f t="shared" ref="C22:D22" si="10">+C20-C21</f>
        <v>94680</v>
      </c>
      <c r="D22" s="14">
        <f t="shared" si="10"/>
        <v>57411</v>
      </c>
    </row>
    <row r="23" spans="1:7" ht="15" thickTop="1" x14ac:dyDescent="0.3">
      <c r="A23" t="s">
        <v>19</v>
      </c>
    </row>
    <row r="24" spans="1:7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3">
      <c r="A31" s="35" t="s">
        <v>24</v>
      </c>
      <c r="B31" s="35"/>
      <c r="C31" s="35"/>
      <c r="D31" s="35"/>
    </row>
    <row r="32" spans="1:7" x14ac:dyDescent="0.3">
      <c r="B32" s="34" t="s">
        <v>142</v>
      </c>
      <c r="C32" s="34"/>
      <c r="D32" s="34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E42" s="24"/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4"/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  <c r="E55" s="24"/>
      <c r="F55" s="24"/>
    </row>
    <row r="56" spans="1:7" x14ac:dyDescent="0.3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E56" s="25"/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  <c r="E59" s="25"/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3" t="s">
        <v>53</v>
      </c>
      <c r="B61" s="22">
        <f>+B59+B60</f>
        <v>148101</v>
      </c>
      <c r="C61" s="22">
        <f t="shared" ref="C61:D61" si="16">+C59+C60</f>
        <v>162431</v>
      </c>
      <c r="D61" s="22">
        <f t="shared" si="16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7">+C56+C61</f>
        <v>287912</v>
      </c>
      <c r="D62" s="13">
        <f t="shared" si="17"/>
        <v>258549</v>
      </c>
    </row>
    <row r="63" spans="1:7" x14ac:dyDescent="0.3">
      <c r="B63" s="12"/>
      <c r="C63" s="12"/>
      <c r="D63" s="12"/>
      <c r="E63" s="25"/>
      <c r="F63" s="25"/>
      <c r="G63" s="25"/>
    </row>
    <row r="64" spans="1:7" x14ac:dyDescent="0.3">
      <c r="A64" t="s">
        <v>42</v>
      </c>
      <c r="B64" s="12"/>
      <c r="C64" s="12"/>
      <c r="D64" s="12"/>
    </row>
    <row r="65" spans="1:8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3">
      <c r="A68" s="8" t="s">
        <v>45</v>
      </c>
      <c r="B68" s="13">
        <f>+SUM(B65:B67)</f>
        <v>50672</v>
      </c>
      <c r="C68" s="13">
        <f t="shared" ref="C68:D68" si="18">+SUM(C65:C67)</f>
        <v>63090</v>
      </c>
      <c r="D68" s="13">
        <f t="shared" si="18"/>
        <v>65339</v>
      </c>
    </row>
    <row r="69" spans="1:8" ht="15" thickBot="1" x14ac:dyDescent="0.35">
      <c r="A69" s="9" t="s">
        <v>46</v>
      </c>
      <c r="B69" s="14">
        <f>+B68+B62</f>
        <v>352755</v>
      </c>
      <c r="C69" s="14">
        <f t="shared" ref="C69:D69" si="19">+C68+C62</f>
        <v>351002</v>
      </c>
      <c r="D69" s="14">
        <f t="shared" si="19"/>
        <v>323888</v>
      </c>
      <c r="F69" s="25"/>
      <c r="G69" s="25"/>
      <c r="H69" s="25"/>
    </row>
    <row r="70" spans="1:8" ht="15" thickTop="1" x14ac:dyDescent="0.3"/>
    <row r="71" spans="1:8" x14ac:dyDescent="0.3">
      <c r="A71" s="35" t="s">
        <v>55</v>
      </c>
      <c r="B71" s="35"/>
      <c r="C71" s="35"/>
      <c r="D71" s="35"/>
    </row>
    <row r="72" spans="1:8" x14ac:dyDescent="0.3">
      <c r="B72" s="34" t="s">
        <v>23</v>
      </c>
      <c r="C72" s="34"/>
      <c r="D72" s="34"/>
    </row>
    <row r="73" spans="1:8" x14ac:dyDescent="0.3">
      <c r="B73" s="7">
        <f>+B33</f>
        <v>2022</v>
      </c>
      <c r="C73" s="7">
        <f t="shared" ref="C73:D73" si="20">+C33</f>
        <v>2021</v>
      </c>
      <c r="D73" s="7">
        <f t="shared" si="20"/>
        <v>2020</v>
      </c>
    </row>
    <row r="75" spans="1:8" x14ac:dyDescent="0.3">
      <c r="A75" s="7" t="s">
        <v>56</v>
      </c>
      <c r="B75" s="15"/>
      <c r="C75" s="15"/>
      <c r="D75" s="15"/>
    </row>
    <row r="76" spans="1:8" x14ac:dyDescent="0.3">
      <c r="A76" t="s">
        <v>57</v>
      </c>
      <c r="B76" s="12">
        <f>+B22</f>
        <v>99803</v>
      </c>
      <c r="C76" s="12">
        <f t="shared" ref="C76:D76" si="21">+C22</f>
        <v>94680</v>
      </c>
      <c r="D76" s="12">
        <f t="shared" si="21"/>
        <v>57411</v>
      </c>
      <c r="F76" s="28"/>
      <c r="G76" s="28"/>
      <c r="H76" s="28"/>
    </row>
    <row r="77" spans="1:8" x14ac:dyDescent="0.3">
      <c r="A77" s="11" t="s">
        <v>18</v>
      </c>
      <c r="B77" s="15"/>
      <c r="C77" s="15"/>
      <c r="D77" s="15"/>
    </row>
    <row r="78" spans="1:8" x14ac:dyDescent="0.3">
      <c r="A78" s="1" t="s">
        <v>58</v>
      </c>
      <c r="B78" s="12"/>
      <c r="C78" s="12"/>
      <c r="D78" s="12"/>
    </row>
    <row r="79" spans="1:8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9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9" x14ac:dyDescent="0.3">
      <c r="A82" s="3" t="s">
        <v>61</v>
      </c>
      <c r="B82" s="12">
        <v>111</v>
      </c>
      <c r="C82" s="12">
        <v>-147</v>
      </c>
      <c r="D82" s="12">
        <v>-97</v>
      </c>
      <c r="G82" s="24"/>
      <c r="H82" s="24"/>
      <c r="I82" s="24"/>
    </row>
    <row r="83" spans="1:9" x14ac:dyDescent="0.3">
      <c r="A83" t="s">
        <v>62</v>
      </c>
      <c r="B83" s="12"/>
      <c r="C83" s="12"/>
      <c r="D83" s="12"/>
    </row>
    <row r="84" spans="1:9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9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9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9" x14ac:dyDescent="0.3">
      <c r="A87" s="32" t="s">
        <v>84</v>
      </c>
      <c r="B87" s="12">
        <v>-6499</v>
      </c>
      <c r="C87" s="12">
        <v>-8042</v>
      </c>
      <c r="D87" s="12">
        <v>-9588</v>
      </c>
    </row>
    <row r="88" spans="1:9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9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9" x14ac:dyDescent="0.3">
      <c r="A90" s="32" t="s">
        <v>85</v>
      </c>
      <c r="B90" s="12">
        <v>5632</v>
      </c>
      <c r="C90" s="12">
        <v>5799</v>
      </c>
      <c r="D90" s="12">
        <v>8916</v>
      </c>
    </row>
    <row r="91" spans="1:9" x14ac:dyDescent="0.3">
      <c r="A91" s="8" t="s">
        <v>63</v>
      </c>
      <c r="B91" s="13">
        <f>+SUM(B76:B90)</f>
        <v>122151</v>
      </c>
      <c r="C91" s="13">
        <f t="shared" ref="C91:D91" si="22">+SUM(C76:C90)</f>
        <v>104038</v>
      </c>
      <c r="D91" s="13">
        <f t="shared" si="22"/>
        <v>80674</v>
      </c>
    </row>
    <row r="92" spans="1:9" x14ac:dyDescent="0.3">
      <c r="A92" s="7" t="s">
        <v>64</v>
      </c>
      <c r="B92" s="12"/>
      <c r="C92" s="12"/>
      <c r="D92" s="12"/>
    </row>
    <row r="93" spans="1:9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9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9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9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3">+SUM(C93:C98)</f>
        <v>-14545</v>
      </c>
      <c r="D99" s="13">
        <f t="shared" si="23"/>
        <v>-4289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24">+SUM(C101:C107)</f>
        <v>-93353</v>
      </c>
      <c r="D108" s="13">
        <f t="shared" si="24"/>
        <v>-86820</v>
      </c>
      <c r="E108" s="25"/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25">+C91+C99+C108</f>
        <v>-3860</v>
      </c>
      <c r="D109" s="13">
        <f t="shared" si="25"/>
        <v>-10435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B1" sqref="B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2.33203125" bestFit="1" customWidth="1"/>
    <col min="6" max="6" width="42.2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7" t="s">
        <v>167</v>
      </c>
      <c r="G1" s="19"/>
      <c r="H1" s="19"/>
      <c r="I1" s="19"/>
      <c r="J1" s="19"/>
    </row>
    <row r="2" spans="1:10" x14ac:dyDescent="0.3">
      <c r="C2" s="34" t="s">
        <v>23</v>
      </c>
      <c r="D2" s="34"/>
      <c r="E2" s="3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0.879</v>
      </c>
      <c r="D5">
        <v>1.0740000000000001</v>
      </c>
      <c r="E5">
        <v>1.3640000000000001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</row>
    <row r="7" spans="1:10" x14ac:dyDescent="0.3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32" t="s">
        <v>103</v>
      </c>
      <c r="C8" s="27">
        <f>'Financial Statements'!B42/'Financial Statements'!E17</f>
        <v>962.56354075372474</v>
      </c>
      <c r="D8" s="27">
        <f>'Financial Statements'!C42/'Financial Statements'!F17</f>
        <v>1121.4058832911796</v>
      </c>
      <c r="E8" s="27">
        <f>'Financial Statements'!D42/'Financial Statements'!G17</f>
        <v>1356.5543860556534</v>
      </c>
      <c r="F8" t="s">
        <v>151</v>
      </c>
    </row>
    <row r="9" spans="1:10" x14ac:dyDescent="0.3">
      <c r="A9" s="18">
        <f t="shared" si="0"/>
        <v>1.5000000000000004</v>
      </c>
      <c r="B9" s="32" t="s">
        <v>104</v>
      </c>
      <c r="C9" s="27">
        <f>'Financial Statements'!B39/'Financial Statements'!E12*365</f>
        <v>2947.6297943152645</v>
      </c>
      <c r="D9" s="27">
        <f>'Financial Statements'!C39/'Financial Statements'!F12*365</f>
        <v>4115.9563529141096</v>
      </c>
      <c r="E9" s="27">
        <f>'Financial Statements'!D39/'Financial Statements'!G12*365</f>
        <v>3190.7874250260966</v>
      </c>
      <c r="F9" t="s">
        <v>152</v>
      </c>
    </row>
    <row r="10" spans="1:10" x14ac:dyDescent="0.3">
      <c r="A10" s="18">
        <f t="shared" si="0"/>
        <v>1.6000000000000005</v>
      </c>
      <c r="B10" s="1" t="s">
        <v>105</v>
      </c>
      <c r="C10" s="27">
        <f>'Financial Statements'!B51/'Financial Statements'!B12*365</f>
        <v>104.68527730310539</v>
      </c>
      <c r="D10" s="27">
        <f>'Financial Statements'!C51/'Financial Statements'!C12*365</f>
        <v>93.851071222315596</v>
      </c>
      <c r="E10" s="27">
        <f>'Financial Statements'!D51/'Financial Statements'!D12*365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7">
        <f>'Financial Statements'!B38/'Financial Statements'!B8*365</f>
        <v>26.087825363656648</v>
      </c>
      <c r="D11" s="27">
        <f>'Financial Statements'!C38/'Financial Statements'!C8*365</f>
        <v>26.219311841713207</v>
      </c>
      <c r="E11" s="27">
        <f>'Financial Statements'!D38/'Financial Statements'!D8*365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7">
        <f>C9+C11-C10</f>
        <v>2869.0323423758155</v>
      </c>
      <c r="D12" s="27">
        <f>D9+D11-D10</f>
        <v>4048.3245935335076</v>
      </c>
      <c r="E12" s="27">
        <f>E9+E11-E10</f>
        <v>3121.172672463219</v>
      </c>
    </row>
    <row r="13" spans="1:10" x14ac:dyDescent="0.3">
      <c r="A13" s="18">
        <f t="shared" si="0"/>
        <v>1.9000000000000008</v>
      </c>
      <c r="B13" s="1" t="s">
        <v>108</v>
      </c>
      <c r="C13" s="26">
        <f>C14/'Financial Statements'!B8*100</f>
        <v>12.850216063784464</v>
      </c>
      <c r="D13" s="26">
        <f>D14/'Financial Statements'!C8*100</f>
        <v>17.246328082073823</v>
      </c>
      <c r="E13" s="26">
        <f>E14/'Financial Statements'!D8*100</f>
        <v>23.801613755168205</v>
      </c>
      <c r="F13" t="s">
        <v>165</v>
      </c>
    </row>
    <row r="14" spans="1:10" x14ac:dyDescent="0.3">
      <c r="A14" s="18"/>
      <c r="B14" s="3" t="s">
        <v>109</v>
      </c>
      <c r="C14" s="25">
        <f>'Financial Statements'!B48-'Financial Statements'!B62</f>
        <v>50672</v>
      </c>
      <c r="D14" s="25">
        <f>'Financial Statements'!C48-'Financial Statements'!C62</f>
        <v>63090</v>
      </c>
      <c r="E14" s="25">
        <f>'Financial Statements'!D48-'Financial Statements'!D62</f>
        <v>65339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7">
        <v>170782</v>
      </c>
      <c r="D17" s="27">
        <v>152836</v>
      </c>
      <c r="E17" s="27">
        <v>104956</v>
      </c>
    </row>
    <row r="18" spans="1:6" x14ac:dyDescent="0.3">
      <c r="A18" s="18">
        <f>+A17+0.1</f>
        <v>2.2000000000000002</v>
      </c>
      <c r="B18" s="1" t="s">
        <v>111</v>
      </c>
      <c r="C18" s="27">
        <f>C19/'Financial Statements'!B8</f>
        <v>0.33815757440506383</v>
      </c>
      <c r="D18" s="27">
        <f>D19/'Financial Statements'!C8</f>
        <v>0.36640178012503521</v>
      </c>
      <c r="E18" s="36">
        <f>E19/'Financial Statements'!D8</f>
        <v>0.29495655975083329</v>
      </c>
    </row>
    <row r="19" spans="1:6" x14ac:dyDescent="0.3">
      <c r="A19" s="18"/>
      <c r="B19" s="3" t="s">
        <v>112</v>
      </c>
      <c r="C19" s="27">
        <f>'Financial Statements'!B22+'Financial Statements'!B114+'Financial Statements'!B113+'Financial Statements'!B79</f>
        <v>133345</v>
      </c>
      <c r="D19" s="27">
        <f>'Financial Statements'!C22+'Financial Statements'!C114+'Financial Statements'!C113+'Financial Statements'!C79</f>
        <v>134036</v>
      </c>
      <c r="E19" s="27">
        <f>'Financial Statements'!D22+'Financial Statements'!D114+'Financial Statements'!D113+'Financial Statements'!D79</f>
        <v>80970</v>
      </c>
      <c r="F19" t="s">
        <v>166</v>
      </c>
    </row>
    <row r="20" spans="1:6" x14ac:dyDescent="0.3">
      <c r="A20" s="18">
        <f>+A18+0.1</f>
        <v>2.3000000000000003</v>
      </c>
      <c r="B20" s="1" t="s">
        <v>113</v>
      </c>
      <c r="C20" s="27">
        <f>C21/'Financial Statements'!B8</f>
        <v>0.30999827554726017</v>
      </c>
      <c r="D20" s="27">
        <f>D21/'Financial Statements'!C8</f>
        <v>0.33555575602008653</v>
      </c>
      <c r="E20" s="27">
        <f>E21/'Financial Statements'!D8</f>
        <v>0.25468189352130122</v>
      </c>
    </row>
    <row r="21" spans="1:6" x14ac:dyDescent="0.3">
      <c r="A21" s="18"/>
      <c r="B21" s="3" t="s">
        <v>114</v>
      </c>
      <c r="C21" s="27">
        <f>'Financial Statements'!B22+'Financial Statements'!B113+'Financial Statements'!B114</f>
        <v>122241</v>
      </c>
      <c r="D21" s="27">
        <f>'Financial Statements'!C22+'Financial Statements'!C113+'Financial Statements'!C114</f>
        <v>122752</v>
      </c>
      <c r="E21" s="27">
        <f>'Financial Statements'!D22+'Financial Statements'!D113+'Financial Statements'!D114</f>
        <v>69914</v>
      </c>
      <c r="F21" t="s">
        <v>153</v>
      </c>
    </row>
    <row r="22" spans="1:6" x14ac:dyDescent="0.3">
      <c r="A22" s="18">
        <f>+A20+0.1</f>
        <v>2.4000000000000004</v>
      </c>
      <c r="B22" s="1" t="s">
        <v>115</v>
      </c>
      <c r="C22" s="27">
        <f>'Financial Statements'!B22/'Financial Statements'!B8*100</f>
        <v>25.309640705199733</v>
      </c>
      <c r="D22" s="27">
        <f>'Financial Statements'!C22/'Financial Statements'!C8*100</f>
        <v>25.881793355694239</v>
      </c>
      <c r="E22" s="27">
        <f>'Financial Statements'!D22/'Financial Statements'!D8*100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5">
        <f>('Financial Statements'!B56+'Financial Statements'!B61)/'Financial Statements'!B68</f>
        <v>5.9615369434796337</v>
      </c>
      <c r="D25" s="25">
        <f>('Financial Statements'!C56+'Financial Statements'!C61)/'Financial Statements'!C68</f>
        <v>4.5635124425423994</v>
      </c>
      <c r="E25" s="25">
        <f>('Financial Statements'!D56+'Financial Statements'!D61)/'Financial Statements'!D68</f>
        <v>3.9570394404566951</v>
      </c>
      <c r="F25" s="24" t="s">
        <v>154</v>
      </c>
    </row>
    <row r="26" spans="1:6" x14ac:dyDescent="0.3">
      <c r="A26" s="18">
        <f t="shared" ref="A26:A30" si="1">+A25+0.1</f>
        <v>3.2</v>
      </c>
      <c r="B26" s="1" t="s">
        <v>118</v>
      </c>
      <c r="C26" s="27">
        <f>'Financial Statements'!B62/'Financial Statements'!B48</f>
        <v>0.85635355983614692</v>
      </c>
      <c r="D26" s="27">
        <f>'Financial Statements'!C62/'Financial Statements'!C48</f>
        <v>0.82025743443057308</v>
      </c>
      <c r="E26" s="27">
        <f>'Financial Statements'!D62/'Financial Statements'!D48</f>
        <v>0.79826668477992391</v>
      </c>
      <c r="F26" s="24" t="s">
        <v>155</v>
      </c>
    </row>
    <row r="27" spans="1:6" x14ac:dyDescent="0.3">
      <c r="A27" s="18">
        <f t="shared" si="1"/>
        <v>3.3000000000000003</v>
      </c>
      <c r="B27" s="1" t="s">
        <v>119</v>
      </c>
      <c r="C27" s="25">
        <f>'Financial Statements'!B61/'Financial Statements'!B69</f>
        <v>0.41984096610962285</v>
      </c>
      <c r="D27" s="25">
        <f>'Financial Statements'!C61/'Financial Statements'!C69</f>
        <v>0.46276374493592631</v>
      </c>
      <c r="E27" s="25">
        <f>'Financial Statements'!D61/'Financial Statements'!D69</f>
        <v>0.47287025144494393</v>
      </c>
      <c r="F27" s="24" t="s">
        <v>156</v>
      </c>
    </row>
    <row r="28" spans="1:6" x14ac:dyDescent="0.3">
      <c r="A28" s="18">
        <f t="shared" si="1"/>
        <v>3.4000000000000004</v>
      </c>
      <c r="B28" s="1" t="s">
        <v>120</v>
      </c>
      <c r="C28" s="29">
        <f>C21/'Financial Statements'!B114</f>
        <v>42.667015706806282</v>
      </c>
      <c r="D28" s="29">
        <f>D21/'Financial Statements'!C114</f>
        <v>45.683662076665428</v>
      </c>
      <c r="E28" s="29">
        <f>E21/'Financial Statements'!D114</f>
        <v>23.289140572951364</v>
      </c>
    </row>
    <row r="29" spans="1:6" x14ac:dyDescent="0.3">
      <c r="A29" s="18">
        <f t="shared" si="1"/>
        <v>3.5000000000000004</v>
      </c>
      <c r="B29" s="1" t="s">
        <v>121</v>
      </c>
      <c r="C29" s="29">
        <f>'Financial Statements'!B22/'Financial Statements'!B56</f>
        <v>0.64814718603473132</v>
      </c>
      <c r="D29" s="29">
        <f>'Financial Statements'!C22/'Financial Statements'!C56</f>
        <v>0.75453654338106968</v>
      </c>
      <c r="E29" s="29">
        <f>'Financial Statements'!D22/'Financial Statements'!D56</f>
        <v>0.54473774100500982</v>
      </c>
      <c r="F29" s="24" t="s">
        <v>157</v>
      </c>
    </row>
    <row r="30" spans="1:6" x14ac:dyDescent="0.3">
      <c r="A30" s="18">
        <f t="shared" si="1"/>
        <v>3.6000000000000005</v>
      </c>
      <c r="B30" s="1" t="s">
        <v>122</v>
      </c>
      <c r="C30" s="31">
        <f>C31/4754986</f>
        <v>9.3266310352964239E-3</v>
      </c>
      <c r="D30" s="31">
        <f t="shared" ref="D30:E30" si="2">D31/4754986</f>
        <v>9.1007628623932853E-3</v>
      </c>
      <c r="E30" s="31">
        <f t="shared" si="2"/>
        <v>1.5648836820970661E-3</v>
      </c>
      <c r="F30" s="24" t="s">
        <v>158</v>
      </c>
    </row>
    <row r="31" spans="1:6" x14ac:dyDescent="0.3">
      <c r="A31" s="18"/>
      <c r="B31" s="3" t="s">
        <v>123</v>
      </c>
      <c r="C31" s="30">
        <v>44348</v>
      </c>
      <c r="D31" s="30">
        <v>43274</v>
      </c>
      <c r="E31" s="30">
        <v>7441</v>
      </c>
      <c r="F31" t="s">
        <v>158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7">
        <f>'Financial Statements'!B8/'Financial Statements'!B42</f>
        <v>2.9122115136073261</v>
      </c>
      <c r="D35" s="27">
        <f>'Financial Statements'!C8/'Financial Statements'!C42</f>
        <v>2.7130514106025099</v>
      </c>
      <c r="E35" s="27">
        <f>'Financial Statements'!D8/'Financial Statements'!D42</f>
        <v>1.9101612241063788</v>
      </c>
      <c r="F35" t="s">
        <v>159</v>
      </c>
    </row>
    <row r="36" spans="1:6" x14ac:dyDescent="0.3">
      <c r="A36" s="18">
        <f t="shared" si="3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6" x14ac:dyDescent="0.3">
      <c r="A37" s="18">
        <f t="shared" si="3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5">
        <f>'Financial Statements'!B65/'Financial Statements'!B66</f>
        <v>-21.137222946544981</v>
      </c>
      <c r="D40" s="25">
        <f>'Financial Statements'!C65/'Financial Statements'!C66</f>
        <v>10.313736066163251</v>
      </c>
      <c r="E40" s="25">
        <f>'Financial Statements'!D65/'Financial Statements'!D66</f>
        <v>3.3929573700387543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 s="31">
        <f>('Financial Statements'!B22-'Financial Statements'!B102)/4754986</f>
        <v>2.4110270776822477E-2</v>
      </c>
      <c r="D41" s="31">
        <f>('Financial Statements'!C22-'Financial Statements'!C102)/4754986</f>
        <v>2.2954221106013771E-2</v>
      </c>
      <c r="E41" s="31">
        <f>('Financial Statements'!D22-'Financial Statements'!D102)/4754986</f>
        <v>1.5035165192915395E-2</v>
      </c>
      <c r="F41" t="s">
        <v>160</v>
      </c>
    </row>
    <row r="42" spans="1:6" x14ac:dyDescent="0.3">
      <c r="A42" s="18">
        <f t="shared" si="4"/>
        <v>5.2999999999999989</v>
      </c>
      <c r="B42" s="1" t="s">
        <v>132</v>
      </c>
      <c r="C42">
        <f>138.2/C43</f>
        <v>12968.48486738238</v>
      </c>
      <c r="D42" s="24">
        <f>146.92/D43</f>
        <v>11073.110526549373</v>
      </c>
      <c r="E42" s="24">
        <f>112.28/E43</f>
        <v>8171.0743672232511</v>
      </c>
    </row>
    <row r="43" spans="1:6" x14ac:dyDescent="0.3">
      <c r="A43" s="18">
        <f t="shared" si="4"/>
        <v>5.3999999999999986</v>
      </c>
      <c r="B43" s="3" t="s">
        <v>133</v>
      </c>
      <c r="C43">
        <f>('Financial Statements'!B48-'Financial Statements'!B62)/4754986</f>
        <v>1.0656603405351772E-2</v>
      </c>
      <c r="D43" s="24">
        <f>('Financial Statements'!C48-'Financial Statements'!C62)/4754986</f>
        <v>1.3268177866349134E-2</v>
      </c>
      <c r="E43" s="24">
        <f>('Financial Statements'!D48-'Financial Statements'!D62)/4754986</f>
        <v>1.3741155073853003E-2</v>
      </c>
      <c r="F43" t="s">
        <v>161</v>
      </c>
    </row>
    <row r="44" spans="1:6" x14ac:dyDescent="0.3">
      <c r="A44" s="18">
        <f t="shared" si="4"/>
        <v>5.4999999999999982</v>
      </c>
      <c r="B44" s="1" t="s">
        <v>134</v>
      </c>
      <c r="C44">
        <f>C45/C41</f>
        <v>-0.12945291511112661</v>
      </c>
      <c r="D44" s="24">
        <f t="shared" ref="D44:E44" si="5">D45/D41</f>
        <v>-0.13254601592347937</v>
      </c>
      <c r="E44" s="24">
        <f t="shared" si="5"/>
        <v>-0.19695910031891681</v>
      </c>
    </row>
    <row r="45" spans="1:6" x14ac:dyDescent="0.3">
      <c r="A45" s="18"/>
      <c r="B45" s="3" t="s">
        <v>135</v>
      </c>
      <c r="C45" s="33">
        <f>'Financial Statements'!B102/4754986</f>
        <v>-3.121144836178277E-3</v>
      </c>
      <c r="D45" s="33">
        <f>'Financial Statements'!C102/4754986</f>
        <v>-3.0424905562287672E-3</v>
      </c>
      <c r="E45" s="33">
        <f>'Financial Statements'!D102/4754986</f>
        <v>-2.9613126095429094E-3</v>
      </c>
      <c r="F45" s="24" t="s">
        <v>162</v>
      </c>
    </row>
    <row r="46" spans="1:6" x14ac:dyDescent="0.3">
      <c r="A46" s="18">
        <f>+A44+0.1</f>
        <v>5.5999999999999979</v>
      </c>
      <c r="B46" s="1" t="s">
        <v>136</v>
      </c>
      <c r="C46">
        <f>C45/138.2</f>
        <v>-2.2584260753822556E-5</v>
      </c>
      <c r="D46">
        <f>D45/146.92</f>
        <v>-2.0708484591810288E-5</v>
      </c>
      <c r="E46">
        <f>E45/112.28</f>
        <v>-2.6374355268461966E-5</v>
      </c>
    </row>
    <row r="47" spans="1:6" x14ac:dyDescent="0.3">
      <c r="A47" s="18">
        <f t="shared" ref="A47:A50" si="6">+A45+0.1</f>
        <v>0.1</v>
      </c>
      <c r="B47" s="1" t="s">
        <v>137</v>
      </c>
      <c r="C47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3">
      <c r="A48" s="18">
        <f t="shared" si="6"/>
        <v>5.6999999999999975</v>
      </c>
      <c r="B48" s="1" t="s">
        <v>138</v>
      </c>
      <c r="C48">
        <f>(C21/('Financial Statements'!B48-'Financial Statements'!B56))</f>
        <v>0.61497788935116937</v>
      </c>
      <c r="D48" s="24">
        <f>(D21/('Financial Statements'!C48-'Financial Statements'!C56))</f>
        <v>0.54430407811245962</v>
      </c>
      <c r="E48" s="24">
        <f>(E21/('Financial Statements'!D48-'Financial Statements'!D56))</f>
        <v>0.31997839777387227</v>
      </c>
      <c r="F48" s="24" t="s">
        <v>163</v>
      </c>
    </row>
    <row r="49" spans="1:6" x14ac:dyDescent="0.3">
      <c r="A49" s="18">
        <f t="shared" si="6"/>
        <v>0.2</v>
      </c>
      <c r="B49" s="1" t="s">
        <v>128</v>
      </c>
      <c r="C49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</row>
    <row r="50" spans="1:6" x14ac:dyDescent="0.3">
      <c r="A50" s="18">
        <f t="shared" si="6"/>
        <v>5.7999999999999972</v>
      </c>
      <c r="B50" s="1" t="s">
        <v>139</v>
      </c>
      <c r="C50" s="25">
        <f>C51/C19</f>
        <v>2.477790693314335</v>
      </c>
      <c r="D50" s="25">
        <f t="shared" ref="D50:E50" si="7">D51/D19</f>
        <v>2.5101987525739355</v>
      </c>
      <c r="E50" s="25">
        <f t="shared" si="7"/>
        <v>3.9471285661356057</v>
      </c>
    </row>
    <row r="51" spans="1:6" x14ac:dyDescent="0.3">
      <c r="A51" s="18"/>
      <c r="B51" s="3" t="s">
        <v>140</v>
      </c>
      <c r="C51" s="25">
        <f>'Financial Statements'!B68+'Financial Statements'!B62+'Financial Statements'!B99</f>
        <v>330401</v>
      </c>
      <c r="D51" s="25">
        <f>'Financial Statements'!C68+'Financial Statements'!C62+'Financial Statements'!C99</f>
        <v>336457</v>
      </c>
      <c r="E51" s="25">
        <f>'Financial Statements'!D68+'Financial Statements'!D62+'Financial Statements'!D99</f>
        <v>319599</v>
      </c>
      <c r="F51" s="24" t="s">
        <v>164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2023-08-24T15:38:19Z</dcterms:modified>
</cp:coreProperties>
</file>