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bisii\Downloads\"/>
    </mc:Choice>
  </mc:AlternateContent>
  <xr:revisionPtr revIDLastSave="0" documentId="13_ncr:1_{33407A65-320B-4531-8D15-0F2742EE18B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E30" i="3"/>
  <c r="C30" i="3"/>
  <c r="D31" i="3"/>
  <c r="E31" i="3"/>
  <c r="C31" i="3"/>
  <c r="D75" i="3"/>
  <c r="E75" i="3"/>
  <c r="D76" i="3"/>
  <c r="E76" i="3"/>
  <c r="D77" i="3"/>
  <c r="E77" i="3"/>
  <c r="C77" i="3"/>
  <c r="C76" i="3"/>
  <c r="C75" i="3"/>
  <c r="A76" i="3"/>
  <c r="A77" i="3"/>
  <c r="A75" i="3"/>
  <c r="A74" i="3"/>
  <c r="D66" i="3"/>
  <c r="E66" i="3"/>
  <c r="D67" i="3"/>
  <c r="E67" i="3"/>
  <c r="D69" i="3"/>
  <c r="E69" i="3"/>
  <c r="D70" i="3"/>
  <c r="E70" i="3"/>
  <c r="D71" i="3"/>
  <c r="E71" i="3"/>
  <c r="D72" i="3"/>
  <c r="E72" i="3"/>
  <c r="C72" i="3"/>
  <c r="C71" i="3"/>
  <c r="C70" i="3"/>
  <c r="C69" i="3"/>
  <c r="C67" i="3"/>
  <c r="C66" i="3"/>
  <c r="A72" i="3"/>
  <c r="A71" i="3"/>
  <c r="A70" i="3"/>
  <c r="A69" i="3"/>
  <c r="A67" i="3"/>
  <c r="A68" i="3"/>
  <c r="A66" i="3"/>
  <c r="D55" i="3"/>
  <c r="D56" i="3"/>
  <c r="D57" i="3"/>
  <c r="D59" i="3"/>
  <c r="D60" i="3"/>
  <c r="D61" i="3"/>
  <c r="D62" i="3"/>
  <c r="D63" i="3"/>
  <c r="C63" i="3"/>
  <c r="C62" i="3"/>
  <c r="A63" i="3"/>
  <c r="C61" i="3"/>
  <c r="C60" i="3"/>
  <c r="C59" i="3"/>
  <c r="C57" i="3"/>
  <c r="C56" i="3"/>
  <c r="C55" i="3"/>
  <c r="C51" i="3"/>
  <c r="C50" i="3" s="1"/>
  <c r="D34" i="3"/>
  <c r="E34" i="3"/>
  <c r="D35" i="3"/>
  <c r="E35" i="3"/>
  <c r="D36" i="3"/>
  <c r="E36" i="3"/>
  <c r="D37" i="3"/>
  <c r="E37" i="3"/>
  <c r="C35" i="3"/>
  <c r="D51" i="3"/>
  <c r="D50" i="3" s="1"/>
  <c r="E51" i="3"/>
  <c r="E50" i="3" s="1"/>
  <c r="D47" i="3"/>
  <c r="E47" i="3"/>
  <c r="D48" i="3"/>
  <c r="E48" i="3"/>
  <c r="D49" i="3"/>
  <c r="E49" i="3"/>
  <c r="C49" i="3"/>
  <c r="C48" i="3"/>
  <c r="C47" i="3"/>
  <c r="C45" i="3"/>
  <c r="C46" i="3" s="1"/>
  <c r="D42" i="3"/>
  <c r="C42" i="3"/>
  <c r="D40" i="3"/>
  <c r="E40" i="3"/>
  <c r="C41" i="3"/>
  <c r="C44" i="3" s="1"/>
  <c r="D45" i="3"/>
  <c r="D46" i="3" s="1"/>
  <c r="E45" i="3"/>
  <c r="E46" i="3" s="1"/>
  <c r="D43" i="3"/>
  <c r="E43" i="3"/>
  <c r="E42" i="3" s="1"/>
  <c r="C43" i="3"/>
  <c r="D41" i="3"/>
  <c r="E41" i="3"/>
  <c r="C37" i="3"/>
  <c r="C36" i="3"/>
  <c r="C34" i="3"/>
  <c r="D28" i="3"/>
  <c r="E28" i="3"/>
  <c r="C28" i="3"/>
  <c r="E29" i="3"/>
  <c r="D29" i="3"/>
  <c r="C29" i="3"/>
  <c r="D27" i="3"/>
  <c r="E27" i="3"/>
  <c r="C27" i="3"/>
  <c r="D26" i="3"/>
  <c r="E26" i="3"/>
  <c r="C26" i="3"/>
  <c r="D25" i="3"/>
  <c r="E25" i="3"/>
  <c r="C25" i="3"/>
  <c r="D17" i="3"/>
  <c r="E17" i="3"/>
  <c r="D19" i="3"/>
  <c r="D18" i="3" s="1"/>
  <c r="E19" i="3"/>
  <c r="E18" i="3" s="1"/>
  <c r="D21" i="3"/>
  <c r="D20" i="3" s="1"/>
  <c r="E21" i="3"/>
  <c r="E20" i="3" s="1"/>
  <c r="D22" i="3"/>
  <c r="E22" i="3"/>
  <c r="C22" i="3"/>
  <c r="C19" i="3"/>
  <c r="C18" i="3" s="1"/>
  <c r="C21" i="3"/>
  <c r="C20" i="3" s="1"/>
  <c r="C17" i="3"/>
  <c r="C11" i="3"/>
  <c r="D11" i="3"/>
  <c r="E11" i="3"/>
  <c r="E10" i="3"/>
  <c r="D10" i="3"/>
  <c r="E9" i="3"/>
  <c r="D9" i="3"/>
  <c r="D8" i="3"/>
  <c r="E8" i="3"/>
  <c r="C8" i="3"/>
  <c r="D14" i="3"/>
  <c r="D13" i="3" s="1"/>
  <c r="E14" i="3"/>
  <c r="E13" i="3" s="1"/>
  <c r="D5" i="3"/>
  <c r="E5" i="3"/>
  <c r="D6" i="3"/>
  <c r="E6" i="3"/>
  <c r="D7" i="3"/>
  <c r="E7" i="3"/>
  <c r="C10" i="3"/>
  <c r="C14" i="3"/>
  <c r="C13" i="3" s="1"/>
  <c r="C9" i="3"/>
  <c r="C7" i="3"/>
  <c r="C6" i="3"/>
  <c r="C5" i="3"/>
  <c r="D108" i="1"/>
  <c r="C108" i="1"/>
  <c r="B108" i="1"/>
  <c r="D99" i="1"/>
  <c r="C99" i="1"/>
  <c r="B99" i="1"/>
  <c r="E12" i="3" l="1"/>
  <c r="D12" i="3"/>
  <c r="C12" i="3"/>
  <c r="E44" i="3"/>
  <c r="D44" i="3"/>
  <c r="C40" i="3"/>
  <c r="D68" i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34" i="3"/>
  <c r="A35" i="3" s="1"/>
  <c r="A36" i="3" s="1"/>
  <c r="A37" i="3" s="1"/>
  <c r="A40" i="3" l="1"/>
  <c r="A41" i="3" s="1"/>
  <c r="A42" i="3" s="1"/>
  <c r="A43" i="3" s="1"/>
  <c r="A44" i="3" s="1"/>
  <c r="A46" i="3" s="1"/>
  <c r="A48" i="3" s="1"/>
  <c r="A50" i="3" s="1"/>
  <c r="A53" i="3"/>
  <c r="A54" i="3" l="1"/>
  <c r="A65" i="3"/>
  <c r="A57" i="3" l="1"/>
  <c r="A58" i="3" s="1"/>
  <c r="A55" i="3"/>
  <c r="A56" i="3" s="1"/>
  <c r="A59" i="3" l="1"/>
  <c r="A60" i="3" s="1"/>
  <c r="A61" i="3"/>
  <c r="A6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tc={B171A7E9-019C-4BA9-973C-98490F29F225}</author>
    <author>tc={939F182A-0D86-49EC-91E2-034A60480FBA}</author>
    <author>tc={EA257467-79B4-4399-B947-7719E4501622}</author>
    <author>tc={8D51D411-A8B1-491C-B2EB-C6A6005C262B}</author>
    <author>tc={87403653-CF24-4CBA-859E-6D0B34E59DC3}</author>
    <author>tc={FEF4CCF4-1DEE-41B9-8303-AD9A0972060D}</author>
    <author>tc={08D313EF-0A89-4DB8-9A4D-B4A0C83D2353}</author>
    <author>tc={4E8729D0-C1AA-456F-BF89-6EAE354ADA4B}</author>
    <author>tc={57CAACA1-44E5-4A84-8E69-00C27BA4B465}</author>
    <author>tc={E99E8FD5-D61E-4DB7-9F32-411193B8E5F3}</author>
    <author>tc={8B7D5EDE-6318-442B-8FA3-5AB08C05AA26}</author>
    <author>tc={8A933CA0-96DB-4079-BF72-D6410926BB04}</author>
    <author>tc={41BC5607-C845-42E3-9EB2-5442227FFEE9}</author>
    <author>tc={77CC5015-CA64-4461-BB9E-B58BE61A0E33}</author>
    <author>tc={D8D2F217-3783-4C97-B6FA-ACD97ABE049F}</author>
    <author>tc={693ECAD3-A024-4689-9B66-F7BA469A1C89}</author>
    <author>tc={26FBE07B-2167-440A-A3A5-679CB1061263}</author>
    <author>tc={D0E69419-13D9-4BA3-9E2D-AC1512F50C60}</author>
    <author>tc={75B8E44B-ED89-4186-A2A2-DB4CE9CCCAE3}</author>
    <author>tc={B86A8F79-19A5-4D85-835E-C5CAE54E8325}</author>
    <author>tc={FC367764-D189-4895-9678-DFBC33A6CAAC}</author>
    <author>tc={A59C3850-E234-4894-A48A-D582807FE483}</author>
    <author>tc={0F3F5ECC-3652-4764-87FE-C73012AC8E3A}</author>
    <author>tc={1EBD9CDF-2B65-4C4A-9F10-F473065AEEFB}</author>
    <author>tc={91242E04-3035-4E2F-9575-2A0419FC2DAF}</author>
    <author>tc={E64D84EC-86DD-4ABE-B41D-436B074C0033}</author>
    <author>tc={539EBE18-185B-4F4A-B31A-61FEF5291BB0}</author>
    <author>tc={415859B6-F8BC-4A7D-926C-93D9ABBF507C}</author>
    <author>tc={082BB7CB-CD2A-4A36-A89E-C1D8085FBB8C}</author>
    <author>tc={F85707D7-B56D-4F41-9EC0-B5B5BBD38F37}</author>
    <author>tc={EF1044D4-6D27-4F5E-AFC5-E077C02900A0}</author>
    <author>tc={4E00080A-E434-4A0A-97DE-2C5225334E8E}</author>
  </authors>
  <commentList>
    <comment ref="B5" authorId="0" shapeId="0" xr:uid="{B171A7E9-019C-4BA9-973C-98490F29F225}">
      <text>
        <t>[Threaded comment]
Your version of Excel allows you to read this threaded comment; however, any edits to it will get removed if the file is opened in a newer version of Excel. Learn more: https://go.microsoft.com/fwlink/?linkid=870924
Comment:
    Current asset/current liabilities</t>
      </text>
    </comment>
    <comment ref="B6" authorId="1" shapeId="0" xr:uid="{939F182A-0D86-49EC-91E2-034A60480FB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(current asset - inventory)/current liabilities
</t>
      </text>
    </comment>
    <comment ref="B7" authorId="2" shapeId="0" xr:uid="{EA257467-79B4-4399-B947-7719E4501622}">
      <text>
        <t>[Threaded comment]
Your version of Excel allows you to read this threaded comment; however, any edits to it will get removed if the file is opened in a newer version of Excel. Learn more: https://go.microsoft.com/fwlink/?linkid=870924
Comment:
    Cash and cash equivalent / current liabilities</t>
      </text>
    </comment>
    <comment ref="B8" authorId="3" shapeId="0" xr:uid="{8D51D411-A8B1-491C-B2EB-C6A6005C262B}">
      <text>
        <t>[Threaded comment]
Your version of Excel allows you to read this threaded comment; however, any edits to it will get removed if the file is opened in a newer version of Excel. Learn more: https://go.microsoft.com/fwlink/?linkid=870924
Comment:
    Current Asset / Daily Operating Expense
DOE = (Opex - noncash expense) / 365</t>
      </text>
    </comment>
    <comment ref="B9" authorId="4" shapeId="0" xr:uid="{87403653-CF24-4CBA-859E-6D0B34E59DC3}">
      <text>
        <t>[Threaded comment]
Your version of Excel allows you to read this threaded comment; however, any edits to it will get removed if the file is opened in a newer version of Excel. Learn more: https://go.microsoft.com/fwlink/?linkid=870924
Comment:
    (Avg inventory/COGS )*365</t>
      </text>
    </comment>
    <comment ref="B10" authorId="5" shapeId="0" xr:uid="{FEF4CCF4-1DEE-41B9-8303-AD9A0972060D}">
      <text>
        <t>[Threaded comment]
Your version of Excel allows you to read this threaded comment; however, any edits to it will get removed if the file is opened in a newer version of Excel. Learn more: https://go.microsoft.com/fwlink/?linkid=870924
Comment:
    (Avg accounts payable/COGS) *365</t>
      </text>
    </comment>
    <comment ref="B11" authorId="6" shapeId="0" xr:uid="{08D313EF-0A89-4DB8-9A4D-B4A0C83D2353}">
      <text>
        <t>[Threaded comment]
Your version of Excel allows you to read this threaded comment; however, any edits to it will get removed if the file is opened in a newer version of Excel. Learn more: https://go.microsoft.com/fwlink/?linkid=870924
Comment:
    (Avg receivables/Sales)*365</t>
      </text>
    </comment>
    <comment ref="B12" authorId="7" shapeId="0" xr:uid="{4E8729D0-C1AA-456F-BF89-6EAE354ADA4B}">
      <text>
        <t>[Threaded comment]
Your version of Excel allows you to read this threaded comment; however, any edits to it will get removed if the file is opened in a newer version of Excel. Learn more: https://go.microsoft.com/fwlink/?linkid=870924
Comment:
    Receivable Days + Inventory Days - Payable days</t>
      </text>
    </comment>
    <comment ref="B14" authorId="8" shapeId="0" xr:uid="{57CAACA1-44E5-4A84-8E69-00C27BA4B465}">
      <text>
        <t>[Threaded comment]
Your version of Excel allows you to read this threaded comment; however, any edits to it will get removed if the file is opened in a newer version of Excel. Learn more: https://go.microsoft.com/fwlink/?linkid=870924
Comment:
    Current Asset - current liabilities</t>
      </text>
    </comment>
    <comment ref="B17" authorId="9" shapeId="0" xr:uid="{E99E8FD5-D61E-4DB7-9F32-411193B8E5F3}">
      <text>
        <t>[Threaded comment]
Your version of Excel allows you to read this threaded comment; however, any edits to it will get removed if the file is opened in a newer version of Excel. Learn more: https://go.microsoft.com/fwlink/?linkid=870924
Comment:
    Gross Profit/ Sales</t>
      </text>
    </comment>
    <comment ref="B18" authorId="10" shapeId="0" xr:uid="{8B7D5EDE-6318-442B-8FA3-5AB08C05AA26}">
      <text>
        <t>[Threaded comment]
Your version of Excel allows you to read this threaded comment; however, any edits to it will get removed if the file is opened in a newer version of Excel. Learn more: https://go.microsoft.com/fwlink/?linkid=870924
Comment:
    EBITDA / Sales</t>
      </text>
    </comment>
    <comment ref="B20" authorId="11" shapeId="0" xr:uid="{8A933CA0-96DB-4079-BF72-D6410926BB04}">
      <text>
        <t>[Threaded comment]
Your version of Excel allows you to read this threaded comment; however, any edits to it will get removed if the file is opened in a newer version of Excel. Learn more: https://go.microsoft.com/fwlink/?linkid=870924
Comment:
    EBIT/ Sales</t>
      </text>
    </comment>
    <comment ref="B22" authorId="12" shapeId="0" xr:uid="{41BC5607-C845-42E3-9EB2-5442227FFEE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Net Profit / Sales </t>
      </text>
    </comment>
    <comment ref="B25" authorId="13" shapeId="0" xr:uid="{77CC5015-CA64-4461-BB9E-B58BE61A0E33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Liabilities / Total Equities</t>
      </text>
    </comment>
    <comment ref="B26" authorId="14" shapeId="0" xr:uid="{D8D2F217-3783-4C97-B6FA-ACD97ABE049F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Liabilities / Total Assets</t>
      </text>
    </comment>
    <comment ref="B27" authorId="15" shapeId="0" xr:uid="{693ECAD3-A024-4689-9B66-F7BA469A1C8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Non-current liabilities / Total liabilities &amp; Equity</t>
      </text>
    </comment>
    <comment ref="B28" authorId="16" shapeId="0" xr:uid="{26FBE07B-2167-440A-A3A5-679CB1061263}">
      <text>
        <t>[Threaded comment]
Your version of Excel allows you to read this threaded comment; however, any edits to it will get removed if the file is opened in a newer version of Excel. Learn more: https://go.microsoft.com/fwlink/?linkid=870924
Comment:
    EBITDA / Interest expense</t>
      </text>
    </comment>
    <comment ref="B29" authorId="17" shapeId="0" xr:uid="{D0E69419-13D9-4BA3-9E2D-AC1512F50C60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operating income / Total debt service</t>
      </text>
    </comment>
    <comment ref="B31" authorId="18" shapeId="0" xr:uid="{75B8E44B-ED89-4186-A2A2-DB4CE9CCCAE3}">
      <text>
        <t>[Threaded comment]
Your version of Excel allows you to read this threaded comment; however, any edits to it will get removed if the file is opened in a newer version of Excel. Learn more: https://go.microsoft.com/fwlink/?linkid=870924
Comment:
    Cashflow from operating activities + interest expense - Tax shield on interest expense - Capital expenditure
Tax shield on interest expense = interest expense * tax rate</t>
      </text>
    </comment>
    <comment ref="B34" authorId="19" shapeId="0" xr:uid="{B86A8F79-19A5-4D85-835E-C5CAE54E8325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Sales / Total Asset</t>
      </text>
    </comment>
    <comment ref="B35" authorId="20" shapeId="0" xr:uid="{FC367764-D189-4895-9678-DFBC33A6CAAC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Sales / Fixed Asset</t>
      </text>
    </comment>
    <comment ref="B36" authorId="21" shapeId="0" xr:uid="{A59C3850-E234-4894-A48A-D582807FE483}">
      <text>
        <t>[Threaded comment]
Your version of Excel allows you to read this threaded comment; however, any edits to it will get removed if the file is opened in a newer version of Excel. Learn more: https://go.microsoft.com/fwlink/?linkid=870924
Comment:
    COGS / Avg Inventory</t>
      </text>
    </comment>
    <comment ref="B37" authorId="22" shapeId="0" xr:uid="{0F3F5ECC-3652-4764-87FE-C73012AC8E3A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Income / Total asset</t>
      </text>
    </comment>
    <comment ref="B40" authorId="23" shapeId="0" xr:uid="{1EBD9CDF-2B65-4C4A-9F10-F473065AEEFB}">
      <text>
        <t>[Threaded comment]
Your version of Excel allows you to read this threaded comment; however, any edits to it will get removed if the file is opened in a newer version of Excel. Learn more: https://go.microsoft.com/fwlink/?linkid=870924
Comment:
    Share price / Earnings per share</t>
      </text>
    </comment>
    <comment ref="B43" authorId="24" shapeId="0" xr:uid="{91242E04-3035-4E2F-9575-2A0419FC2DAF}">
      <text>
        <t>[Threaded comment]
Your version of Excel allows you to read this threaded comment; however, any edits to it will get removed if the file is opened in a newer version of Excel. Learn more: https://go.microsoft.com/fwlink/?linkid=870924
Comment:
    Book value of equity / outstanding shares</t>
      </text>
    </comment>
    <comment ref="B44" authorId="25" shapeId="0" xr:uid="{E64D84EC-86DD-4ABE-B41D-436B074C0033}">
      <text>
        <t>[Threaded comment]
Your version of Excel allows you to read this threaded comment; however, any edits to it will get removed if the file is opened in a newer version of Excel. Learn more: https://go.microsoft.com/fwlink/?linkid=870924
Comment:
    DPS/EPS</t>
      </text>
    </comment>
    <comment ref="B45" authorId="26" shapeId="0" xr:uid="{539EBE18-185B-4F4A-B31A-61FEF5291BB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Dividend paid / outstanding share
</t>
      </text>
    </comment>
    <comment ref="B46" authorId="27" shapeId="0" xr:uid="{415859B6-F8BC-4A7D-926C-93D9ABBF507C}">
      <text>
        <t>[Threaded comment]
Your version of Excel allows you to read this threaded comment; however, any edits to it will get removed if the file is opened in a newer version of Excel. Learn more: https://go.microsoft.com/fwlink/?linkid=870924
Comment:
    DPS / current share price</t>
      </text>
    </comment>
    <comment ref="B47" authorId="28" shapeId="0" xr:uid="{082BB7CB-CD2A-4A36-A89E-C1D8085FBB8C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income / Total equity</t>
      </text>
    </comment>
    <comment ref="B48" authorId="29" shapeId="0" xr:uid="{F85707D7-B56D-4F41-9EC0-B5B5BBD38F37}">
      <text>
        <t>[Threaded comment]
Your version of Excel allows you to read this threaded comment; however, any edits to it will get removed if the file is opened in a newer version of Excel. Learn more: https://go.microsoft.com/fwlink/?linkid=870924
Comment:
    EBIT/ (total asset - total liabilities)</t>
      </text>
    </comment>
    <comment ref="B49" authorId="30" shapeId="0" xr:uid="{EF1044D4-6D27-4F5E-AFC5-E077C02900A0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income / Total asset</t>
      </text>
    </comment>
    <comment ref="B51" authorId="31" shapeId="0" xr:uid="{4E00080A-E434-4A0A-97DE-2C5225334E8E}">
      <text>
        <t>[Threaded comment]
Your version of Excel allows you to read this threaded comment; however, any edits to it will get removed if the file is opened in a newer version of Excel. Learn more: https://go.microsoft.com/fwlink/?linkid=870924
Comment:
    (Share price * outstanding shares) +Total debts + Cash and cash equivalent</t>
      </text>
    </comment>
  </commentList>
</comments>
</file>

<file path=xl/sharedStrings.xml><?xml version="1.0" encoding="utf-8"?>
<sst xmlns="http://schemas.openxmlformats.org/spreadsheetml/2006/main" count="197" uniqueCount="165">
  <si>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</si>
  <si>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</si>
  <si>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</si>
  <si>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</si>
  <si>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</si>
  <si>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</si>
  <si>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</si>
  <si>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</si>
  <si>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</si>
  <si>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</si>
  <si>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</si>
  <si>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</si>
  <si>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</si>
  <si>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</si>
  <si>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</si>
  <si>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</si>
  <si>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</si>
  <si>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</si>
  <si>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</si>
  <si>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</si>
  <si>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</si>
  <si>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</si>
  <si>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</si>
  <si>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</si>
  <si>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</si>
  <si>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</si>
  <si>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</si>
  <si>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</si>
  <si>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</si>
  <si>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</si>
  <si>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</si>
  <si>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</si>
  <si>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</si>
  <si>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</si>
  <si>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</si>
  <si>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</si>
  <si>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</si>
  <si>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</si>
  <si>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</si>
  <si>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</si>
  <si>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</si>
  <si>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</si>
  <si>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</si>
  <si>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</si>
  <si>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</si>
  <si>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</si>
  <si>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</si>
  <si>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</si>
  <si>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</si>
  <si>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</si>
  <si>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</si>
  <si>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</si>
  <si>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</si>
  <si>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</si>
  <si>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</si>
  <si>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</si>
  <si>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</si>
  <si>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</si>
  <si>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</si>
  <si>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</si>
  <si>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</si>
  <si>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</si>
  <si>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</si>
  <si>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</si>
  <si>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</si>
  <si>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</si>
  <si>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</si>
  <si>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</si>
  <si>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</si>
  <si>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</si>
  <si>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</si>
  <si>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</si>
  <si>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</si>
  <si>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</si>
  <si>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</si>
  <si>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</si>
  <si>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</si>
  <si>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</si>
  <si>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</si>
  <si>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</si>
  <si>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</si>
  <si>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</si>
  <si>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</si>
  <si>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</si>
  <si>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</si>
  <si>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</si>
  <si>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</si>
  <si>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</si>
  <si>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</si>
  <si>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</si>
  <si>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</si>
  <si>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</si>
  <si>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</si>
  <si>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</si>
  <si>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</si>
  <si>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</si>
  <si>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</si>
  <si>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</si>
  <si>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</si>
  <si>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</si>
  <si>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</si>
  <si>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</si>
  <si>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</si>
  <si>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</si>
  <si>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</si>
  <si>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</si>
  <si>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</si>
  <si>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</si>
  <si>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</si>
  <si>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</si>
  <si>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</si>
  <si>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</si>
  <si>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</si>
  <si>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</si>
  <si>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</si>
  <si>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</si>
  <si>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</si>
  <si>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</si>
  <si>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</si>
  <si>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</si>
  <si>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</si>
  <si>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</si>
  <si>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</si>
  <si>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</si>
  <si>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</si>
  <si>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</si>
  <si>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</si>
  <si>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</si>
  <si>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</si>
  <si>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</si>
  <si>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</si>
  <si>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</si>
  <si>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</si>
  <si>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</si>
  <si>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</si>
  <si>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</si>
  <si>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</si>
  <si>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</si>
  <si>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</si>
  <si>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</si>
  <si>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</si>
  <si>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</si>
  <si>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</si>
  <si>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</si>
  <si>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</si>
  <si>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</si>
  <si>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</si>
  <si>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</si>
  <si>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</si>
  <si>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</si>
  <si>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Share price as at 06/08/2024</t>
  </si>
  <si>
    <t>Growth Rates</t>
  </si>
  <si>
    <t>Gross profit</t>
  </si>
  <si>
    <t xml:space="preserve">Sales: </t>
  </si>
  <si>
    <t xml:space="preserve">   Product</t>
  </si>
  <si>
    <t xml:space="preserve">   Service</t>
  </si>
  <si>
    <t>Total  liabilities</t>
  </si>
  <si>
    <t>Additional Items</t>
  </si>
  <si>
    <t>Margins</t>
  </si>
  <si>
    <t>COGS as a % of Net Sales</t>
  </si>
  <si>
    <t>Gross profit as a % of Net Sales</t>
  </si>
  <si>
    <t>Research and development as a % of Net Sales</t>
  </si>
  <si>
    <t>Selling, general and administrative as a % of Net Sales</t>
  </si>
  <si>
    <t>Operating income as a % of Net Sales</t>
  </si>
  <si>
    <t>Net profit as a % of Net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</si>
</sst>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  <numFmt numFmtId="168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7" fontId="0" fillId="0" borderId="0" xfId="0" applyNumberFormat="1"/>
    <xf numFmtId="43" fontId="0" fillId="0" borderId="0" xfId="0" applyNumberFormat="1"/>
    <xf numFmtId="168" fontId="0" fillId="0" borderId="0" xfId="1" applyNumberFormat="1" applyFont="1"/>
    <xf numFmtId="165" fontId="0" fillId="0" borderId="0" xfId="0" applyNumberFormat="1"/>
    <xf numFmtId="2" fontId="0" fillId="0" borderId="0" xfId="0" applyNumberFormat="1"/>
    <xf numFmtId="166" fontId="0" fillId="0" borderId="0" xfId="0" quotePrefix="1" applyNumberFormat="1"/>
    <xf numFmtId="166" fontId="2" fillId="0" borderId="0" xfId="0" applyNumberFormat="1" applyFont="1"/>
    <xf numFmtId="9" fontId="0" fillId="0" borderId="0" xfId="3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labisi Imolehin-Olanipekun" id="{0D77CADF-D380-4FE9-AA6D-CB4DD2B9982C}" userId="f39839c9135ebf7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4-08-02T20:57:00.28" personId="{0D77CADF-D380-4FE9-AA6D-CB4DD2B9982C}" id="{B171A7E9-019C-4BA9-973C-98490F29F225}">
    <text>Current asset/current liabilities</text>
  </threadedComment>
  <threadedComment ref="B6" dT="2024-08-02T20:57:38.86" personId="{0D77CADF-D380-4FE9-AA6D-CB4DD2B9982C}" id="{939F182A-0D86-49EC-91E2-034A60480FBA}">
    <text xml:space="preserve">(current asset - inventory)/current liabilities
</text>
  </threadedComment>
  <threadedComment ref="B7" dT="2024-08-02T20:58:01.34" personId="{0D77CADF-D380-4FE9-AA6D-CB4DD2B9982C}" id="{EA257467-79B4-4399-B947-7719E4501622}">
    <text>Cash and cash equivalent / current liabilities</text>
  </threadedComment>
  <threadedComment ref="B8" dT="2024-08-02T21:16:02.41" personId="{0D77CADF-D380-4FE9-AA6D-CB4DD2B9982C}" id="{8D51D411-A8B1-491C-B2EB-C6A6005C262B}">
    <text>Current Asset / Daily Operating Expense
DOE = (Opex - noncash expense) / 365</text>
  </threadedComment>
  <threadedComment ref="B9" dT="2024-08-02T20:56:38.17" personId="{0D77CADF-D380-4FE9-AA6D-CB4DD2B9982C}" id="{87403653-CF24-4CBA-859E-6D0B34E59DC3}">
    <text>(Avg inventory/COGS )*365</text>
  </threadedComment>
  <threadedComment ref="B10" dT="2024-08-02T21:02:09.51" personId="{0D77CADF-D380-4FE9-AA6D-CB4DD2B9982C}" id="{FEF4CCF4-1DEE-41B9-8303-AD9A0972060D}">
    <text>(Avg accounts payable/COGS) *365</text>
  </threadedComment>
  <threadedComment ref="B11" dT="2024-08-02T21:02:57.65" personId="{0D77CADF-D380-4FE9-AA6D-CB4DD2B9982C}" id="{08D313EF-0A89-4DB8-9A4D-B4A0C83D2353}">
    <text>(Avg receivables/Sales)*365</text>
  </threadedComment>
  <threadedComment ref="B12" dT="2024-08-02T21:12:42.54" personId="{0D77CADF-D380-4FE9-AA6D-CB4DD2B9982C}" id="{4E8729D0-C1AA-456F-BF89-6EAE354ADA4B}">
    <text>Receivable Days + Inventory Days - Payable days</text>
  </threadedComment>
  <threadedComment ref="B14" dT="2024-08-02T21:16:38.34" personId="{0D77CADF-D380-4FE9-AA6D-CB4DD2B9982C}" id="{57CAACA1-44E5-4A84-8E69-00C27BA4B465}">
    <text>Current Asset - current liabilities</text>
  </threadedComment>
  <threadedComment ref="B17" dT="2024-08-02T21:35:36.72" personId="{0D77CADF-D380-4FE9-AA6D-CB4DD2B9982C}" id="{E99E8FD5-D61E-4DB7-9F32-411193B8E5F3}">
    <text>Gross Profit/ Sales</text>
  </threadedComment>
  <threadedComment ref="B18" dT="2024-08-02T21:35:52.56" personId="{0D77CADF-D380-4FE9-AA6D-CB4DD2B9982C}" id="{8B7D5EDE-6318-442B-8FA3-5AB08C05AA26}">
    <text>EBITDA / Sales</text>
  </threadedComment>
  <threadedComment ref="B20" dT="2024-08-02T21:36:08.09" personId="{0D77CADF-D380-4FE9-AA6D-CB4DD2B9982C}" id="{8A933CA0-96DB-4079-BF72-D6410926BB04}">
    <text>EBIT/ Sales</text>
  </threadedComment>
  <threadedComment ref="B22" dT="2024-08-02T21:36:29.90" personId="{0D77CADF-D380-4FE9-AA6D-CB4DD2B9982C}" id="{41BC5607-C845-42E3-9EB2-5442227FFEE9}">
    <text xml:space="preserve">Net Profit / Sales </text>
  </threadedComment>
  <threadedComment ref="B25" dT="2024-08-02T21:50:14.34" personId="{0D77CADF-D380-4FE9-AA6D-CB4DD2B9982C}" id="{77CC5015-CA64-4461-BB9E-B58BE61A0E33}">
    <text>Total Liabilities / Total Equities</text>
  </threadedComment>
  <threadedComment ref="B26" dT="2024-08-02T21:50:42.24" personId="{0D77CADF-D380-4FE9-AA6D-CB4DD2B9982C}" id="{D8D2F217-3783-4C97-B6FA-ACD97ABE049F}">
    <text>Total Liabilities / Total Assets</text>
  </threadedComment>
  <threadedComment ref="B27" dT="2024-08-02T22:21:22.07" personId="{0D77CADF-D380-4FE9-AA6D-CB4DD2B9982C}" id="{693ECAD3-A024-4689-9B66-F7BA469A1C89}">
    <text>Non-current liabilities / Total liabilities &amp; Equity</text>
  </threadedComment>
  <threadedComment ref="B28" dT="2024-08-02T22:49:59.50" personId="{0D77CADF-D380-4FE9-AA6D-CB4DD2B9982C}" id="{26FBE07B-2167-440A-A3A5-679CB1061263}">
    <text>EBITDA / Interest expense</text>
  </threadedComment>
  <threadedComment ref="B29" dT="2024-08-02T22:25:35.96" personId="{0D77CADF-D380-4FE9-AA6D-CB4DD2B9982C}" id="{D0E69419-13D9-4BA3-9E2D-AC1512F50C60}">
    <text>Net operating income / Total debt service</text>
  </threadedComment>
  <threadedComment ref="B31" dT="2024-08-02T22:37:47.90" personId="{0D77CADF-D380-4FE9-AA6D-CB4DD2B9982C}" id="{75B8E44B-ED89-4186-A2A2-DB4CE9CCCAE3}">
    <text>Cashflow from operating activities + interest expense - Tax shield on interest expense - Capital expenditure
Tax shield on interest expense = interest expense * tax rate</text>
  </threadedComment>
  <threadedComment ref="B34" dT="2024-08-03T13:23:26.63" personId="{0D77CADF-D380-4FE9-AA6D-CB4DD2B9982C}" id="{B86A8F79-19A5-4D85-835E-C5CAE54E8325}">
    <text>Net Sales / Total Asset</text>
  </threadedComment>
  <threadedComment ref="B35" dT="2024-08-03T13:23:53.05" personId="{0D77CADF-D380-4FE9-AA6D-CB4DD2B9982C}" id="{FC367764-D189-4895-9678-DFBC33A6CAAC}">
    <text>Net Sales / Fixed Asset</text>
  </threadedComment>
  <threadedComment ref="B36" dT="2024-08-03T13:27:07.54" personId="{0D77CADF-D380-4FE9-AA6D-CB4DD2B9982C}" id="{A59C3850-E234-4894-A48A-D582807FE483}">
    <text>COGS / Avg Inventory</text>
  </threadedComment>
  <threadedComment ref="B37" dT="2024-08-03T13:33:39.39" personId="{0D77CADF-D380-4FE9-AA6D-CB4DD2B9982C}" id="{0F3F5ECC-3652-4764-87FE-C73012AC8E3A}">
    <text>Net Income / Total asset</text>
  </threadedComment>
  <threadedComment ref="B40" dT="2024-08-03T13:52:18.93" personId="{0D77CADF-D380-4FE9-AA6D-CB4DD2B9982C}" id="{1EBD9CDF-2B65-4C4A-9F10-F473065AEEFB}">
    <text>Share price / Earnings per share</text>
  </threadedComment>
  <threadedComment ref="B43" dT="2024-08-06T20:47:22.96" personId="{0D77CADF-D380-4FE9-AA6D-CB4DD2B9982C}" id="{91242E04-3035-4E2F-9575-2A0419FC2DAF}">
    <text>Book value of equity / outstanding shares</text>
  </threadedComment>
  <threadedComment ref="B44" dT="2024-08-06T20:49:32.31" personId="{0D77CADF-D380-4FE9-AA6D-CB4DD2B9982C}" id="{E64D84EC-86DD-4ABE-B41D-436B074C0033}">
    <text>DPS/EPS</text>
  </threadedComment>
  <threadedComment ref="B45" dT="2024-08-06T20:46:24.87" personId="{0D77CADF-D380-4FE9-AA6D-CB4DD2B9982C}" id="{539EBE18-185B-4F4A-B31A-61FEF5291BB0}">
    <text xml:space="preserve">Dividend paid / outstanding share
</text>
  </threadedComment>
  <threadedComment ref="B46" dT="2024-08-06T20:52:51.80" personId="{0D77CADF-D380-4FE9-AA6D-CB4DD2B9982C}" id="{415859B6-F8BC-4A7D-926C-93D9ABBF507C}">
    <text>DPS / current share price</text>
  </threadedComment>
  <threadedComment ref="B47" dT="2024-08-06T21:04:55.18" personId="{0D77CADF-D380-4FE9-AA6D-CB4DD2B9982C}" id="{082BB7CB-CD2A-4A36-A89E-C1D8085FBB8C}">
    <text>Net income / Total equity</text>
  </threadedComment>
  <threadedComment ref="B48" dT="2024-08-06T21:05:55.20" personId="{0D77CADF-D380-4FE9-AA6D-CB4DD2B9982C}" id="{F85707D7-B56D-4F41-9EC0-B5B5BBD38F37}">
    <text>EBIT/ (total asset - total liabilities)</text>
  </threadedComment>
  <threadedComment ref="B49" dT="2024-08-06T21:06:20.11" personId="{0D77CADF-D380-4FE9-AA6D-CB4DD2B9982C}" id="{EF1044D4-6D27-4F5E-AFC5-E077C02900A0}">
    <text>Net income / Total asset</text>
  </threadedComment>
  <threadedComment ref="B51" dT="2024-08-06T21:12:54.06" personId="{0D77CADF-D380-4FE9-AA6D-CB4DD2B9982C}" id="{4E00080A-E434-4A0A-97DE-2C5225334E8E}">
    <text>(Share price * outstanding shares) +Total debts + Cash and cash equivalent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3" workbookViewId="0">
      <selection activeCell="A22" sqref="A22:A24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7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17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topLeftCell="A7" zoomScale="87" workbookViewId="0">
      <selection activeCell="B27" sqref="B27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  <col min="6" max="6" width="13.6328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32" t="s">
        <v>1</v>
      </c>
      <c r="B2" s="32"/>
      <c r="C2" s="32"/>
      <c r="D2" s="32"/>
    </row>
    <row r="3" spans="1:10" x14ac:dyDescent="0.35">
      <c r="B3" s="31" t="s">
        <v>23</v>
      </c>
      <c r="C3" s="31"/>
      <c r="D3" s="31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8" x14ac:dyDescent="0.3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8" s="7" customFormat="1" x14ac:dyDescent="0.3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8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8" x14ac:dyDescent="0.3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8" x14ac:dyDescent="0.35">
      <c r="A21" t="s">
        <v>17</v>
      </c>
      <c r="B21" s="12">
        <v>19300</v>
      </c>
      <c r="C21" s="12">
        <v>14527</v>
      </c>
      <c r="D21" s="12">
        <v>9680</v>
      </c>
      <c r="F21" s="24"/>
      <c r="G21" s="24"/>
      <c r="H21" s="24"/>
    </row>
    <row r="22" spans="1:8" ht="15" thickBot="1" x14ac:dyDescent="0.4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8" ht="15" thickTop="1" x14ac:dyDescent="0.35">
      <c r="A23" t="s">
        <v>19</v>
      </c>
    </row>
    <row r="24" spans="1:8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8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8" x14ac:dyDescent="0.35">
      <c r="A26" t="s">
        <v>22</v>
      </c>
    </row>
    <row r="27" spans="1:8" x14ac:dyDescent="0.35">
      <c r="A27" s="1" t="s">
        <v>20</v>
      </c>
      <c r="B27" s="2">
        <v>16215963</v>
      </c>
      <c r="C27" s="2">
        <v>16701272</v>
      </c>
      <c r="D27" s="2">
        <v>17352119</v>
      </c>
      <c r="F27" s="12"/>
    </row>
    <row r="28" spans="1:8" x14ac:dyDescent="0.35">
      <c r="A28" s="1" t="s">
        <v>21</v>
      </c>
      <c r="B28" s="2">
        <v>16325819</v>
      </c>
      <c r="C28" s="2">
        <v>16864919</v>
      </c>
      <c r="D28" s="2">
        <v>17528214</v>
      </c>
      <c r="F28" s="12"/>
      <c r="H28" s="24"/>
    </row>
    <row r="29" spans="1:8" x14ac:dyDescent="0.35">
      <c r="F29" s="12"/>
    </row>
    <row r="30" spans="1:8" x14ac:dyDescent="0.35">
      <c r="F30" s="26"/>
      <c r="G30" s="24"/>
    </row>
    <row r="31" spans="1:8" x14ac:dyDescent="0.35">
      <c r="A31" s="32" t="s">
        <v>24</v>
      </c>
      <c r="B31" s="32"/>
      <c r="C31" s="32"/>
      <c r="D31" s="32"/>
      <c r="F31" s="26"/>
    </row>
    <row r="32" spans="1:8" x14ac:dyDescent="0.35">
      <c r="B32" s="31" t="s">
        <v>142</v>
      </c>
      <c r="C32" s="31"/>
      <c r="D32" s="31"/>
    </row>
    <row r="33" spans="1:4" x14ac:dyDescent="0.3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5">
      <c r="A35" t="s">
        <v>25</v>
      </c>
    </row>
    <row r="36" spans="1:4" x14ac:dyDescent="0.3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5">
      <c r="A43" t="s">
        <v>48</v>
      </c>
      <c r="B43" s="12"/>
      <c r="C43" s="12"/>
      <c r="D43" s="12"/>
    </row>
    <row r="44" spans="1:4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4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32" t="s">
        <v>55</v>
      </c>
      <c r="B71" s="32"/>
      <c r="C71" s="32"/>
      <c r="D71" s="32"/>
    </row>
    <row r="72" spans="1:4" x14ac:dyDescent="0.35">
      <c r="B72" s="31" t="s">
        <v>23</v>
      </c>
      <c r="C72" s="31"/>
      <c r="D72" s="31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  <row r="116" spans="1:4" x14ac:dyDescent="0.35">
      <c r="A116" t="s">
        <v>150</v>
      </c>
      <c r="B116">
        <v>207.73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7"/>
  <sheetViews>
    <sheetView tabSelected="1" workbookViewId="0">
      <selection activeCell="F4" sqref="F4"/>
    </sheetView>
  </sheetViews>
  <sheetFormatPr defaultRowHeight="14.5" x14ac:dyDescent="0.35"/>
  <cols>
    <col min="1" max="1" width="5.26953125" customWidth="1"/>
    <col min="2" max="2" width="44.90625" customWidth="1"/>
    <col min="3" max="5" width="16.08984375" bestFit="1" customWidth="1"/>
    <col min="7" max="7" width="13.453125" bestFit="1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5">
      <c r="C2" s="31" t="s">
        <v>23</v>
      </c>
      <c r="D2" s="31"/>
      <c r="E2" s="31"/>
    </row>
    <row r="3" spans="1:10" x14ac:dyDescent="0.3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5">
      <c r="A4" s="18">
        <v>1</v>
      </c>
      <c r="B4" s="7" t="s">
        <v>99</v>
      </c>
    </row>
    <row r="5" spans="1:10" x14ac:dyDescent="0.35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</row>
    <row r="6" spans="1:10" x14ac:dyDescent="0.35">
      <c r="A6" s="18">
        <f t="shared" ref="A6:A13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</row>
    <row r="7" spans="1:10" x14ac:dyDescent="0.35">
      <c r="A7" s="18">
        <f t="shared" si="0"/>
        <v>1.3000000000000003</v>
      </c>
      <c r="B7" s="1" t="s">
        <v>102</v>
      </c>
      <c r="C7" s="23">
        <f>'Financial Statements'!B36/'Financial Statements'!B56</f>
        <v>0.15356340351469652</v>
      </c>
      <c r="D7" s="23">
        <f>'Financial Statements'!C36/'Financial Statements'!C56</f>
        <v>0.27844853005634318</v>
      </c>
      <c r="E7" s="23">
        <f>'Financial Statements'!D36/'Financial Statements'!D56</f>
        <v>0.36071049035979963</v>
      </c>
    </row>
    <row r="8" spans="1:10" x14ac:dyDescent="0.35">
      <c r="A8" s="18">
        <f t="shared" si="0"/>
        <v>1.4000000000000004</v>
      </c>
      <c r="B8" s="1" t="s">
        <v>103</v>
      </c>
      <c r="C8" s="23">
        <f>'Financial Statements'!B42/('Financial Statements'!B17/365)</f>
        <v>962.56354075372474</v>
      </c>
      <c r="D8" s="23">
        <f>'Financial Statements'!C42/('Financial Statements'!C17/365)</f>
        <v>1121.4058832911796</v>
      </c>
      <c r="E8" s="23">
        <f>'Financial Statements'!D42/('Financial Statements'!D17/365)</f>
        <v>1356.5543860556534</v>
      </c>
    </row>
    <row r="9" spans="1:10" x14ac:dyDescent="0.35">
      <c r="A9" s="18">
        <f t="shared" si="0"/>
        <v>1.5000000000000004</v>
      </c>
      <c r="B9" s="1" t="s">
        <v>104</v>
      </c>
      <c r="C9" s="23">
        <f>((('Financial Statements'!C39+'Financial Statements'!B39)/2)/'Financial Statements'!B12)*365</f>
        <v>9.4096740715557434</v>
      </c>
      <c r="D9" s="23">
        <f>((('Financial Statements'!D39+'Financial Statements'!C39)/2)/'Financial Statements'!C12)*365</f>
        <v>9.1181020842234748</v>
      </c>
      <c r="E9" s="23">
        <f>('Financial Statements'!D39/'Financial Statements'!D12)*365</f>
        <v>8.7418833562358831</v>
      </c>
    </row>
    <row r="10" spans="1:10" x14ac:dyDescent="0.35">
      <c r="A10" s="18">
        <f t="shared" si="0"/>
        <v>1.6000000000000005</v>
      </c>
      <c r="B10" s="1" t="s">
        <v>105</v>
      </c>
      <c r="C10" s="23">
        <f>((('Financial Statements'!C51+'Financial Statements'!B51)/2)/'Financial Statements'!B12)*365</f>
        <v>97.050428099809452</v>
      </c>
      <c r="D10" s="23">
        <f>((('Financial Statements'!D51+'Financial Statements'!C51)/2)/'Financial Statements'!C12)*365</f>
        <v>83.168299050150011</v>
      </c>
      <c r="E10" s="23">
        <f>('Financial Statements'!D51/'Financial Statements'!D12)*365</f>
        <v>91.048189715674198</v>
      </c>
    </row>
    <row r="11" spans="1:10" x14ac:dyDescent="0.35">
      <c r="A11" s="18">
        <f t="shared" si="0"/>
        <v>1.7000000000000006</v>
      </c>
      <c r="B11" s="1" t="s">
        <v>106</v>
      </c>
      <c r="C11" s="23">
        <f>('Financial Statements'!B38/'Financial Statements'!B8)*365</f>
        <v>26.087825363656648</v>
      </c>
      <c r="D11" s="23">
        <f>('Financial Statements'!C38/'Financial Statements'!C8)*365</f>
        <v>26.219311841713207</v>
      </c>
      <c r="E11" s="23">
        <f>('Financial Statements'!D38/'Financial Statements'!D8)*365</f>
        <v>21.433437152796749</v>
      </c>
    </row>
    <row r="12" spans="1:10" x14ac:dyDescent="0.35">
      <c r="A12" s="18">
        <f t="shared" si="0"/>
        <v>1.8000000000000007</v>
      </c>
      <c r="B12" s="1" t="s">
        <v>107</v>
      </c>
      <c r="C12" s="23">
        <f>C11+C9-C10</f>
        <v>-61.552928664597061</v>
      </c>
      <c r="D12" s="23">
        <f t="shared" ref="D12:E12" si="1">D11+D9-D10</f>
        <v>-47.830885124213331</v>
      </c>
      <c r="E12" s="23">
        <f t="shared" si="1"/>
        <v>-60.872869206641568</v>
      </c>
    </row>
    <row r="13" spans="1:10" x14ac:dyDescent="0.35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</row>
    <row r="14" spans="1:10" x14ac:dyDescent="0.35">
      <c r="A14" s="18"/>
      <c r="B14" s="3" t="s">
        <v>109</v>
      </c>
      <c r="C14" s="12">
        <f>'Financial Statements'!B42-'Financial Statements'!B56</f>
        <v>-18577</v>
      </c>
      <c r="D14" s="12">
        <f>'Financial Statements'!C42-'Financial Statements'!C56</f>
        <v>9355</v>
      </c>
      <c r="E14" s="12">
        <f>'Financial Statements'!D42-'Financial Statements'!D56</f>
        <v>38321</v>
      </c>
    </row>
    <row r="15" spans="1:10" x14ac:dyDescent="0.35">
      <c r="A15" s="18"/>
    </row>
    <row r="16" spans="1:10" x14ac:dyDescent="0.35">
      <c r="A16" s="18">
        <f>+A4+1</f>
        <v>2</v>
      </c>
      <c r="B16" s="17" t="s">
        <v>110</v>
      </c>
    </row>
    <row r="17" spans="1:5" x14ac:dyDescent="0.35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5" x14ac:dyDescent="0.35">
      <c r="A18" s="18">
        <f>+A17+0.1</f>
        <v>2.2000000000000002</v>
      </c>
      <c r="B18" s="1" t="s">
        <v>111</v>
      </c>
      <c r="C18" s="23">
        <f>C19/'Financial Statements'!B8</f>
        <v>0.30288744395528594</v>
      </c>
      <c r="D18" s="23">
        <f>D19/'Financial Statements'!C8</f>
        <v>0.29782377527561593</v>
      </c>
      <c r="E18" s="23">
        <f>E19/'Financial Statements'!D8</f>
        <v>0.24147314354406862</v>
      </c>
    </row>
    <row r="19" spans="1:5" x14ac:dyDescent="0.35">
      <c r="A19" s="18"/>
      <c r="B19" s="3" t="s">
        <v>112</v>
      </c>
      <c r="C19" s="12">
        <f>'Financial Statements'!B18</f>
        <v>119437</v>
      </c>
      <c r="D19" s="12">
        <f>'Financial Statements'!C18</f>
        <v>108949</v>
      </c>
      <c r="E19" s="12">
        <f>'Financial Statements'!D18</f>
        <v>66288</v>
      </c>
    </row>
    <row r="20" spans="1:5" x14ac:dyDescent="0.35">
      <c r="A20" s="18">
        <f>+A18+0.1</f>
        <v>2.3000000000000003</v>
      </c>
      <c r="B20" s="1" t="s">
        <v>113</v>
      </c>
      <c r="C20" s="23">
        <f>C21/'Financial Statements'!B8</f>
        <v>0.30204043334482966</v>
      </c>
      <c r="D20" s="23">
        <f>D21/'Financial Statements'!C8</f>
        <v>0.29852904594373691</v>
      </c>
      <c r="E20" s="23">
        <f>E21/'Financial Statements'!D8</f>
        <v>0.24439830246070343</v>
      </c>
    </row>
    <row r="21" spans="1:5" x14ac:dyDescent="0.35">
      <c r="A21" s="18"/>
      <c r="B21" s="3" t="s">
        <v>114</v>
      </c>
      <c r="C21" s="12">
        <f>'Financial Statements'!B20</f>
        <v>119103</v>
      </c>
      <c r="D21" s="12">
        <f>'Financial Statements'!C20</f>
        <v>109207</v>
      </c>
      <c r="E21" s="12">
        <f>'Financial Statements'!D20</f>
        <v>67091</v>
      </c>
    </row>
    <row r="22" spans="1:5" x14ac:dyDescent="0.35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5" x14ac:dyDescent="0.35">
      <c r="A23" s="18"/>
    </row>
    <row r="24" spans="1:5" x14ac:dyDescent="0.35">
      <c r="A24" s="18">
        <f>+A16+1</f>
        <v>3</v>
      </c>
      <c r="B24" s="7" t="s">
        <v>116</v>
      </c>
    </row>
    <row r="25" spans="1:5" x14ac:dyDescent="0.35">
      <c r="A25" s="18">
        <f>+A24+0.1</f>
        <v>3.1</v>
      </c>
      <c r="B25" s="1" t="s">
        <v>117</v>
      </c>
      <c r="C25" s="25">
        <f>'Financial Statements'!B62/'Financial Statements'!B68</f>
        <v>5.9615369434796337</v>
      </c>
      <c r="D25" s="25">
        <f>'Financial Statements'!C62/'Financial Statements'!C68</f>
        <v>4.5635124425423994</v>
      </c>
      <c r="E25" s="25">
        <f>'Financial Statements'!D62/'Financial Statements'!D68</f>
        <v>3.9570394404566951</v>
      </c>
    </row>
    <row r="26" spans="1:5" x14ac:dyDescent="0.35">
      <c r="A26" s="18">
        <f t="shared" ref="A26:A30" si="2">+A25+0.1</f>
        <v>3.2</v>
      </c>
      <c r="B26" s="1" t="s">
        <v>118</v>
      </c>
      <c r="C26" s="25">
        <f>'Financial Statements'!B62/'Financial Statements'!B48</f>
        <v>0.85635355983614692</v>
      </c>
      <c r="D26" s="25">
        <f>'Financial Statements'!C62/'Financial Statements'!C48</f>
        <v>0.82025743443057308</v>
      </c>
      <c r="E26" s="25">
        <f>'Financial Statements'!D62/'Financial Statements'!D48</f>
        <v>0.79826668477992391</v>
      </c>
    </row>
    <row r="27" spans="1:5" x14ac:dyDescent="0.35">
      <c r="A27" s="18">
        <f t="shared" si="2"/>
        <v>3.3000000000000003</v>
      </c>
      <c r="B27" s="1" t="s">
        <v>119</v>
      </c>
      <c r="C27" s="25">
        <f>'Financial Statements'!B61/'Financial Statements'!B69</f>
        <v>0.41984096610962285</v>
      </c>
      <c r="D27" s="25">
        <f>'Financial Statements'!C61/'Financial Statements'!C69</f>
        <v>0.46276374493592631</v>
      </c>
      <c r="E27" s="25">
        <f>'Financial Statements'!D61/'Financial Statements'!D69</f>
        <v>0.47287025144494393</v>
      </c>
    </row>
    <row r="28" spans="1:5" x14ac:dyDescent="0.35">
      <c r="A28" s="18">
        <f t="shared" si="2"/>
        <v>3.4000000000000004</v>
      </c>
      <c r="B28" s="1" t="s">
        <v>120</v>
      </c>
      <c r="C28" s="25">
        <f>'Financial Statements'!B17/'Financial Statements'!B114</f>
        <v>17.921465968586386</v>
      </c>
      <c r="D28" s="25">
        <f>'Financial Statements'!C17/'Financial Statements'!C114</f>
        <v>16.333085225158168</v>
      </c>
      <c r="E28" s="25">
        <f>'Financial Statements'!D17/'Financial Statements'!D114</f>
        <v>12.880746169220521</v>
      </c>
    </row>
    <row r="29" spans="1:5" x14ac:dyDescent="0.35">
      <c r="A29" s="18">
        <f t="shared" si="2"/>
        <v>3.5000000000000004</v>
      </c>
      <c r="B29" s="1" t="s">
        <v>121</v>
      </c>
      <c r="C29" s="25">
        <f>'Financial Statements'!B18/-'Financial Statements'!B105</f>
        <v>12.515665933144714</v>
      </c>
      <c r="D29" s="25">
        <f>'Financial Statements'!C18/-'Financial Statements'!C105</f>
        <v>12.451314285714286</v>
      </c>
      <c r="E29" s="25">
        <f>'Financial Statements'!D18/-('Financial Statements'!D105+'Financial Statements'!D106)</f>
        <v>4.8769864626250738</v>
      </c>
    </row>
    <row r="30" spans="1:5" x14ac:dyDescent="0.35">
      <c r="A30" s="18">
        <f t="shared" si="2"/>
        <v>3.6000000000000005</v>
      </c>
      <c r="B30" s="1" t="s">
        <v>122</v>
      </c>
      <c r="C30" s="25">
        <f>(C31*1000)/'Financial Statements'!B27</f>
        <v>9.0589239263614783</v>
      </c>
      <c r="D30" s="25">
        <f>(D31*1000)/'Financial Statements'!C27</f>
        <v>7.2237258912175806</v>
      </c>
      <c r="E30" s="25">
        <f>(E31*1000)/'Financial Statements'!D27</f>
        <v>5.0449098398294776</v>
      </c>
    </row>
    <row r="31" spans="1:5" x14ac:dyDescent="0.35">
      <c r="A31" s="18"/>
      <c r="B31" s="3" t="s">
        <v>123</v>
      </c>
      <c r="C31" s="12">
        <f>'Financial Statements'!B91+'Financial Statements'!B114-('Financial Statements'!B114*'List of Ratios'!C75)-'Financial Statements'!B99</f>
        <v>146899.17520969245</v>
      </c>
      <c r="D31" s="12">
        <f>'Financial Statements'!C91+'Financial Statements'!C114-('Financial Statements'!C114*'List of Ratios'!D75)-'Financial Statements'!C99</f>
        <v>120645.41096266723</v>
      </c>
      <c r="E31" s="12">
        <f>'Financial Statements'!D91+'Financial Statements'!D114-('Financial Statements'!D114*'List of Ratios'!E75)-'Financial Statements'!D99</f>
        <v>87539.875884992027</v>
      </c>
    </row>
    <row r="32" spans="1:5" x14ac:dyDescent="0.35">
      <c r="A32" s="18"/>
    </row>
    <row r="33" spans="1:7" x14ac:dyDescent="0.35">
      <c r="A33" s="18">
        <f>+A24+1</f>
        <v>4</v>
      </c>
      <c r="B33" s="17" t="s">
        <v>124</v>
      </c>
    </row>
    <row r="34" spans="1:7" x14ac:dyDescent="0.35">
      <c r="A34" s="18">
        <f>+A33+0.1</f>
        <v>4.0999999999999996</v>
      </c>
      <c r="B34" s="1" t="s">
        <v>125</v>
      </c>
      <c r="C34" s="25">
        <f>'Financial Statements'!B8/'Financial Statements'!B48</f>
        <v>1.1178523337727317</v>
      </c>
      <c r="D34" s="25">
        <f>'Financial Statements'!C8/'Financial Statements'!C48</f>
        <v>1.0422077367080529</v>
      </c>
      <c r="E34" s="25">
        <f>'Financial Statements'!D8/'Financial Statements'!D48</f>
        <v>0.84756150274168851</v>
      </c>
    </row>
    <row r="35" spans="1:7" x14ac:dyDescent="0.35">
      <c r="A35" s="18">
        <f t="shared" ref="A35:A37" si="3">+A34+0.1</f>
        <v>4.1999999999999993</v>
      </c>
      <c r="B35" s="1" t="s">
        <v>126</v>
      </c>
      <c r="C35" s="25">
        <f>'Financial Statements'!B8/'Financial Statements'!B47</f>
        <v>1.8142535081665516</v>
      </c>
      <c r="D35" s="25">
        <f>'Financial Statements'!C8/'Financial Statements'!C47</f>
        <v>1.6922966608994938</v>
      </c>
      <c r="E35" s="25">
        <f>'Financial Statements'!D8/'Financial Statements'!D47</f>
        <v>1.5236020535590398</v>
      </c>
    </row>
    <row r="36" spans="1:7" x14ac:dyDescent="0.35">
      <c r="A36" s="18">
        <f t="shared" si="3"/>
        <v>4.2999999999999989</v>
      </c>
      <c r="B36" s="1" t="s">
        <v>127</v>
      </c>
      <c r="C36" s="25">
        <f>'Financial Statements'!B12/'Financial Statements'!B39</f>
        <v>45.197331176708452</v>
      </c>
      <c r="D36" s="25">
        <f>'Financial Statements'!C12/'Financial Statements'!C39</f>
        <v>32.367933130699086</v>
      </c>
      <c r="E36" s="25">
        <f>'Financial Statements'!D12/'Financial Statements'!D39</f>
        <v>41.753016498399411</v>
      </c>
    </row>
    <row r="37" spans="1:7" x14ac:dyDescent="0.35">
      <c r="A37" s="18">
        <f t="shared" si="3"/>
        <v>4.3999999999999986</v>
      </c>
      <c r="B37" s="1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</row>
    <row r="38" spans="1:7" x14ac:dyDescent="0.35">
      <c r="A38" s="18"/>
    </row>
    <row r="39" spans="1:7" x14ac:dyDescent="0.35">
      <c r="A39" s="18">
        <f>+A33+1</f>
        <v>5</v>
      </c>
      <c r="B39" s="17" t="s">
        <v>129</v>
      </c>
    </row>
    <row r="40" spans="1:7" x14ac:dyDescent="0.35">
      <c r="A40" s="18">
        <f>+A39+0.1</f>
        <v>5.0999999999999996</v>
      </c>
      <c r="B40" s="1" t="s">
        <v>130</v>
      </c>
      <c r="C40" s="25">
        <f>'Financial Statements'!$B$116/C41</f>
        <v>33.751911204973794</v>
      </c>
      <c r="D40" s="25">
        <f>'Financial Statements'!$B$116/D41</f>
        <v>36.642957673848755</v>
      </c>
      <c r="E40" s="25">
        <f>'Financial Statements'!$B$116/E41</f>
        <v>62.785105291146294</v>
      </c>
    </row>
    <row r="41" spans="1:7" x14ac:dyDescent="0.35">
      <c r="A41" s="18">
        <f t="shared" ref="A41:A44" si="4">+A40+0.1</f>
        <v>5.1999999999999993</v>
      </c>
      <c r="B41" s="3" t="s">
        <v>131</v>
      </c>
      <c r="C41" s="25">
        <f>'Financial Statements'!B22/('Financial Statements'!B27/1000)</f>
        <v>6.1546144376377772</v>
      </c>
      <c r="D41" s="25">
        <f>'Financial Statements'!C22/('Financial Statements'!C27/1000)</f>
        <v>5.6690292811230183</v>
      </c>
      <c r="E41" s="25">
        <f>'Financial Statements'!D22/('Financial Statements'!D27/1000)</f>
        <v>3.3085872682177895</v>
      </c>
    </row>
    <row r="42" spans="1:7" x14ac:dyDescent="0.35">
      <c r="A42" s="18">
        <f t="shared" si="4"/>
        <v>5.2999999999999989</v>
      </c>
      <c r="B42" s="1" t="s">
        <v>132</v>
      </c>
      <c r="C42" s="25">
        <f>'Financial Statements'!$B$116/C43</f>
        <v>66.477383840977254</v>
      </c>
      <c r="D42" s="25">
        <f>'Financial Statements'!$B$116/D43</f>
        <v>54.990572714534792</v>
      </c>
      <c r="E42" s="25">
        <f>'Financial Statements'!$B$116/E43</f>
        <v>55.166985718636639</v>
      </c>
    </row>
    <row r="43" spans="1:7" x14ac:dyDescent="0.35">
      <c r="A43" s="18">
        <f t="shared" si="4"/>
        <v>5.3999999999999986</v>
      </c>
      <c r="B43" s="3" t="s">
        <v>133</v>
      </c>
      <c r="C43" s="25">
        <f>'Financial Statements'!B68/('Financial Statements'!B27/1000)</f>
        <v>3.1248221274308534</v>
      </c>
      <c r="D43" s="25">
        <f>'Financial Statements'!C68/('Financial Statements'!C27/1000)</f>
        <v>3.7775565837141025</v>
      </c>
      <c r="E43" s="25">
        <f>'Financial Statements'!D68/('Financial Statements'!D27/1000)</f>
        <v>3.7654767120949324</v>
      </c>
    </row>
    <row r="44" spans="1:7" x14ac:dyDescent="0.35">
      <c r="A44" s="18">
        <f t="shared" si="4"/>
        <v>5.4999999999999982</v>
      </c>
      <c r="B44" s="1" t="s">
        <v>134</v>
      </c>
      <c r="C44" s="25">
        <f>C45/C41</f>
        <v>0.1477023266574406</v>
      </c>
      <c r="D44" s="25">
        <f t="shared" ref="D44:E44" si="5">D45/D41</f>
        <v>0.15131623320026394</v>
      </c>
      <c r="E44" s="25">
        <f t="shared" si="5"/>
        <v>0.24280254659213069</v>
      </c>
    </row>
    <row r="45" spans="1:7" x14ac:dyDescent="0.35">
      <c r="A45" s="18"/>
      <c r="B45" s="3" t="s">
        <v>135</v>
      </c>
      <c r="C45" s="25">
        <f>-'Financial Statements'!B102/('Financial Statements'!B28/1000)</f>
        <v>0.90905087211857494</v>
      </c>
      <c r="D45" s="25">
        <f>-'Financial Statements'!C102/('Financial Statements'!C28/1000)</f>
        <v>0.85781615672153533</v>
      </c>
      <c r="E45" s="25">
        <f>-'Financial Statements'!D102/('Financial Statements'!D28/1000)</f>
        <v>0.80333341434558025</v>
      </c>
      <c r="G45" s="27"/>
    </row>
    <row r="46" spans="1:7" x14ac:dyDescent="0.35">
      <c r="A46" s="18">
        <f>+A44+0.1</f>
        <v>5.5999999999999979</v>
      </c>
      <c r="B46" s="1" t="s">
        <v>136</v>
      </c>
      <c r="C46" s="25">
        <f>C45/'Financial Statements'!$B$116</f>
        <v>4.3761174222239204E-3</v>
      </c>
      <c r="D46" s="25">
        <f>D45/'Financial Statements'!$B$116</f>
        <v>4.1294765162544428E-3</v>
      </c>
      <c r="E46" s="25">
        <f>E45/'Financial Statements'!$B$116</f>
        <v>3.867199799478074E-3</v>
      </c>
    </row>
    <row r="47" spans="1:7" x14ac:dyDescent="0.35">
      <c r="A47" s="18">
        <f t="shared" ref="A47:A50" si="6">+A45+0.1</f>
        <v>0.1</v>
      </c>
      <c r="B47" s="1" t="s">
        <v>137</v>
      </c>
      <c r="C47" s="25">
        <f>'Financial Statements'!B22/'Financial Statements'!B68</f>
        <v>1.9695887275023682</v>
      </c>
      <c r="D47" s="25">
        <f>'Financial Statements'!C22/'Financial Statements'!C68</f>
        <v>1.5007132667617689</v>
      </c>
      <c r="E47" s="25">
        <f>'Financial Statements'!D22/'Financial Statements'!D68</f>
        <v>0.87866358530127486</v>
      </c>
    </row>
    <row r="48" spans="1:7" x14ac:dyDescent="0.35">
      <c r="A48" s="18">
        <f t="shared" si="6"/>
        <v>5.6999999999999975</v>
      </c>
      <c r="B48" s="1" t="s">
        <v>138</v>
      </c>
      <c r="C48" s="25">
        <f>'Financial Statements'!B18/('Financial Statements'!B48-'Financial Statements'!B56)</f>
        <v>0.60087134570590572</v>
      </c>
      <c r="D48" s="25">
        <f>'Financial Statements'!C18/('Financial Statements'!C48-'Financial Statements'!C56)</f>
        <v>0.48309913489209433</v>
      </c>
      <c r="E48" s="25">
        <f>'Financial Statements'!D18/('Financial Statements'!D48-'Financial Statements'!D56)</f>
        <v>0.30338312829525482</v>
      </c>
    </row>
    <row r="49" spans="1:5" x14ac:dyDescent="0.35">
      <c r="A49" s="18">
        <f t="shared" si="6"/>
        <v>0.2</v>
      </c>
      <c r="B49" s="1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</row>
    <row r="50" spans="1:5" x14ac:dyDescent="0.35">
      <c r="A50" s="18">
        <f t="shared" si="6"/>
        <v>5.7999999999999972</v>
      </c>
      <c r="B50" s="1" t="s">
        <v>139</v>
      </c>
      <c r="C50" s="12">
        <f>C51/'Financial Statements'!B18</f>
        <v>28206.23192972027</v>
      </c>
      <c r="D50" s="12">
        <f>D51/'Financial Statements'!C18</f>
        <v>31846.809833591862</v>
      </c>
      <c r="E50" s="12">
        <f>E51/'Financial Statements'!D18</f>
        <v>54381.671567553705</v>
      </c>
    </row>
    <row r="51" spans="1:5" x14ac:dyDescent="0.35">
      <c r="A51" s="18"/>
      <c r="B51" s="3" t="s">
        <v>140</v>
      </c>
      <c r="C51" s="12">
        <f>('Financial Statements'!$B$116*'Financial Statements'!B27)+'Financial Statements'!B62+'Financial Statements'!B36</f>
        <v>3368867722.9899998</v>
      </c>
      <c r="D51" s="12">
        <f>('Financial Statements'!$B$116*'Financial Statements'!C27)+'Financial Statements'!C62+'Financial Statements'!C36</f>
        <v>3469678084.5599999</v>
      </c>
      <c r="E51" s="12">
        <f>('Financial Statements'!$B$116*'Financial Statements'!D27)+'Financial Statements'!D62+'Financial Statements'!D36</f>
        <v>3604852244.8699999</v>
      </c>
    </row>
    <row r="53" spans="1:5" x14ac:dyDescent="0.35">
      <c r="A53" s="28">
        <f>+A39+1</f>
        <v>6</v>
      </c>
      <c r="B53" s="11" t="s">
        <v>151</v>
      </c>
    </row>
    <row r="54" spans="1:5" x14ac:dyDescent="0.35">
      <c r="A54" s="18">
        <f>+A53+0.1</f>
        <v>6.1</v>
      </c>
      <c r="B54" t="s">
        <v>153</v>
      </c>
    </row>
    <row r="55" spans="1:5" x14ac:dyDescent="0.35">
      <c r="A55" s="27">
        <f>A54+0.01</f>
        <v>6.1099999999999994</v>
      </c>
      <c r="B55" t="s">
        <v>154</v>
      </c>
      <c r="C55" s="25">
        <f>(('Financial Statements'!B6-'Financial Statements'!C6)/'Financial Statements'!C6)*100</f>
        <v>6.3239764351428418</v>
      </c>
      <c r="D55" s="25">
        <f>(('Financial Statements'!C6-'Financial Statements'!D6)/'Financial Statements'!D6)*100</f>
        <v>34.720743656765436</v>
      </c>
    </row>
    <row r="56" spans="1:5" x14ac:dyDescent="0.35">
      <c r="A56" s="27">
        <f>A55+0.01</f>
        <v>6.1199999999999992</v>
      </c>
      <c r="B56" t="s">
        <v>155</v>
      </c>
      <c r="C56" s="25">
        <f>(('Financial Statements'!B7-'Financial Statements'!C7)/'Financial Statements'!C7)*100</f>
        <v>14.181951041286078</v>
      </c>
      <c r="D56" s="25">
        <f>(('Financial Statements'!C7-'Financial Statements'!D7)/'Financial Statements'!D7)*100</f>
        <v>27.259708376729652</v>
      </c>
    </row>
    <row r="57" spans="1:5" x14ac:dyDescent="0.35">
      <c r="A57" s="18">
        <f>+A54+0.1</f>
        <v>6.1999999999999993</v>
      </c>
      <c r="B57" t="s">
        <v>152</v>
      </c>
      <c r="C57" s="25">
        <f>(('Financial Statements'!B13-'Financial Statements'!C13)/'Financial Statements'!C13)*100</f>
        <v>11.741997958596142</v>
      </c>
      <c r="D57" s="25">
        <f>(('Financial Statements'!C13-'Financial Statements'!D13)/'Financial Statements'!D13)*100</f>
        <v>45.61911658218682</v>
      </c>
    </row>
    <row r="58" spans="1:5" x14ac:dyDescent="0.35">
      <c r="A58" s="18">
        <f>+A57+0.1</f>
        <v>6.2999999999999989</v>
      </c>
      <c r="B58" t="s">
        <v>10</v>
      </c>
      <c r="C58" s="25"/>
      <c r="D58" s="25"/>
    </row>
    <row r="59" spans="1:5" x14ac:dyDescent="0.35">
      <c r="A59" s="27">
        <f>+A58+0.01</f>
        <v>6.3099999999999987</v>
      </c>
      <c r="B59" s="1" t="s">
        <v>11</v>
      </c>
      <c r="C59" s="25">
        <f>(('Financial Statements'!B15-'Financial Statements'!C15)/'Financial Statements'!C15)*100</f>
        <v>19.791001186456146</v>
      </c>
      <c r="D59" s="25">
        <f>(('Financial Statements'!C15-'Financial Statements'!D15)/'Financial Statements'!D15)*100</f>
        <v>16.862201365187712</v>
      </c>
    </row>
    <row r="60" spans="1:5" x14ac:dyDescent="0.35">
      <c r="A60" s="27">
        <f>+A59+0.01</f>
        <v>6.3199999999999985</v>
      </c>
      <c r="B60" s="1" t="s">
        <v>12</v>
      </c>
      <c r="C60" s="25">
        <f>(('Financial Statements'!B16-'Financial Statements'!C16)/'Financial Statements'!C16)*100</f>
        <v>14.203795567287125</v>
      </c>
      <c r="D60" s="25">
        <f>(('Financial Statements'!C16-'Financial Statements'!D16)/'Financial Statements'!D16)*100</f>
        <v>10.328379192608958</v>
      </c>
    </row>
    <row r="61" spans="1:5" x14ac:dyDescent="0.35">
      <c r="A61" s="18">
        <f>+A58+0.1</f>
        <v>6.3999999999999986</v>
      </c>
      <c r="B61" t="s">
        <v>33</v>
      </c>
      <c r="C61" s="25">
        <f>(('Financial Statements'!B48-'Financial Statements'!C48)/'Financial Statements'!C48)*100</f>
        <v>0.49942735369029234</v>
      </c>
      <c r="D61" s="25">
        <f>(('Financial Statements'!C48-'Financial Statements'!D48)/'Financial Statements'!D48)*100</f>
        <v>8.3714123400681704</v>
      </c>
    </row>
    <row r="62" spans="1:5" x14ac:dyDescent="0.35">
      <c r="A62" s="18">
        <f t="shared" ref="A62:A63" si="7">+A61+0.1</f>
        <v>6.4999999999999982</v>
      </c>
      <c r="B62" t="s">
        <v>156</v>
      </c>
      <c r="C62" s="25">
        <f>(('Financial Statements'!B62-'Financial Statements'!C62)/'Financial Statements'!C62)*100</f>
        <v>4.9219900525160467</v>
      </c>
      <c r="D62" s="25">
        <f>(('Financial Statements'!C62-'Financial Statements'!D62)/'Financial Statements'!D62)*100</f>
        <v>11.356841449783213</v>
      </c>
    </row>
    <row r="63" spans="1:5" x14ac:dyDescent="0.35">
      <c r="A63" s="18">
        <f t="shared" si="7"/>
        <v>6.5999999999999979</v>
      </c>
      <c r="B63" t="s">
        <v>45</v>
      </c>
      <c r="C63" s="25">
        <f>(('Financial Statements'!B69-'Financial Statements'!C69)/'Financial Statements'!C69)*100</f>
        <v>0.49942735369029234</v>
      </c>
      <c r="D63" s="25">
        <f>(('Financial Statements'!C69-'Financial Statements'!D69)/'Financial Statements'!D69)*100</f>
        <v>8.3714123400681704</v>
      </c>
    </row>
    <row r="64" spans="1:5" x14ac:dyDescent="0.35">
      <c r="A64" s="18"/>
    </row>
    <row r="65" spans="1:5" x14ac:dyDescent="0.35">
      <c r="A65" s="29">
        <f>A53+1</f>
        <v>7</v>
      </c>
      <c r="B65" s="7" t="s">
        <v>158</v>
      </c>
    </row>
    <row r="66" spans="1:5" x14ac:dyDescent="0.35">
      <c r="A66" s="18">
        <f>A65+0.1</f>
        <v>7.1</v>
      </c>
      <c r="B66" t="s">
        <v>159</v>
      </c>
      <c r="C66" s="25">
        <f>'Financial Statements'!B12/'Financial Statements'!B8</f>
        <v>0.56690369438639909</v>
      </c>
      <c r="D66" s="25">
        <f>'Financial Statements'!C12/'Financial Statements'!C8</f>
        <v>0.58220640374832222</v>
      </c>
      <c r="E66" s="25">
        <f>'Financial Statements'!D12/'Financial Statements'!D8</f>
        <v>0.61766752272189129</v>
      </c>
    </row>
    <row r="67" spans="1:5" x14ac:dyDescent="0.35">
      <c r="A67" s="18">
        <f t="shared" ref="A67:A68" si="8">A66+0.1</f>
        <v>7.1999999999999993</v>
      </c>
      <c r="B67" t="s">
        <v>160</v>
      </c>
      <c r="C67" s="25">
        <f>'Financial Statements'!B13/'Financial Statements'!B8</f>
        <v>0.43309630561360085</v>
      </c>
      <c r="D67" s="25">
        <f>'Financial Statements'!C13/'Financial Statements'!C8</f>
        <v>0.41779359625167778</v>
      </c>
      <c r="E67" s="25">
        <f>'Financial Statements'!D13/'Financial Statements'!D8</f>
        <v>0.38233247727810865</v>
      </c>
    </row>
    <row r="68" spans="1:5" x14ac:dyDescent="0.35">
      <c r="A68" s="18">
        <f t="shared" si="8"/>
        <v>7.2999999999999989</v>
      </c>
      <c r="B68" t="s">
        <v>10</v>
      </c>
      <c r="C68" s="25"/>
      <c r="D68" s="25"/>
      <c r="E68" s="25"/>
    </row>
    <row r="69" spans="1:5" x14ac:dyDescent="0.35">
      <c r="A69" s="27">
        <f>+A68+0.01</f>
        <v>7.3099999999999987</v>
      </c>
      <c r="B69" s="1" t="s">
        <v>161</v>
      </c>
      <c r="C69" s="25">
        <f>'Financial Statements'!B15/'Financial Statements'!B8</f>
        <v>6.657148363798665E-2</v>
      </c>
      <c r="D69" s="25">
        <f>'Financial Statements'!C15/'Financial Statements'!C8</f>
        <v>5.9904269074427925E-2</v>
      </c>
      <c r="E69" s="25">
        <f>'Financial Statements'!D15/'Financial Statements'!D8</f>
        <v>6.8309564140393061E-2</v>
      </c>
    </row>
    <row r="70" spans="1:5" x14ac:dyDescent="0.35">
      <c r="A70" s="27">
        <f>+A69+0.01</f>
        <v>7.3199999999999985</v>
      </c>
      <c r="B70" s="1" t="s">
        <v>162</v>
      </c>
      <c r="C70" s="25">
        <f>'Financial Statements'!B16/'Financial Statements'!B8</f>
        <v>6.3637378020328261E-2</v>
      </c>
      <c r="D70" s="25">
        <f>'Financial Statements'!C16/'Financial Statements'!C8</f>
        <v>6.006555190163388E-2</v>
      </c>
      <c r="E70" s="25">
        <f>'Financial Statements'!D16/'Financial Statements'!D8</f>
        <v>7.2549769593646979E-2</v>
      </c>
    </row>
    <row r="71" spans="1:5" x14ac:dyDescent="0.35">
      <c r="A71" s="18">
        <f>+A68+0.1</f>
        <v>7.3999999999999986</v>
      </c>
      <c r="B71" t="s">
        <v>163</v>
      </c>
      <c r="C71" s="25">
        <f>'Financial Statements'!B18/'Financial Statements'!B8</f>
        <v>0.30288744395528594</v>
      </c>
      <c r="D71" s="25">
        <f>'Financial Statements'!C18/'Financial Statements'!C8</f>
        <v>0.29782377527561593</v>
      </c>
      <c r="E71" s="25">
        <f>'Financial Statements'!D18/'Financial Statements'!D8</f>
        <v>0.24147314354406862</v>
      </c>
    </row>
    <row r="72" spans="1:5" x14ac:dyDescent="0.35">
      <c r="A72" s="18">
        <f>+A71+0.1</f>
        <v>7.4999999999999982</v>
      </c>
      <c r="B72" t="s">
        <v>164</v>
      </c>
      <c r="C72" s="25">
        <f>'Financial Statements'!B22/'Financial Statements'!B8</f>
        <v>0.25309640705199732</v>
      </c>
      <c r="D72" s="25">
        <f>'Financial Statements'!C22/'Financial Statements'!C8</f>
        <v>0.25881793355694238</v>
      </c>
      <c r="E72" s="25">
        <f>'Financial Statements'!D22/'Financial Statements'!D8</f>
        <v>0.20913611278072236</v>
      </c>
    </row>
    <row r="74" spans="1:5" x14ac:dyDescent="0.35">
      <c r="A74" s="29">
        <f>+A65+1</f>
        <v>8</v>
      </c>
      <c r="B74" s="7" t="s">
        <v>157</v>
      </c>
    </row>
    <row r="75" spans="1:5" x14ac:dyDescent="0.35">
      <c r="A75" s="18">
        <f>+A74+0.1</f>
        <v>8.1</v>
      </c>
      <c r="B75" s="1" t="s">
        <v>94</v>
      </c>
      <c r="C75" s="30">
        <f>'Financial Statements'!B113/'Financial Statements'!B20</f>
        <v>0.1643367505436471</v>
      </c>
      <c r="D75" s="30">
        <f>'Financial Statements'!C113/'Financial Statements'!C20</f>
        <v>0.23244846942045841</v>
      </c>
      <c r="E75" s="30">
        <f>'Financial Statements'!D113/'Financial Statements'!D20</f>
        <v>0.14161362924982487</v>
      </c>
    </row>
    <row r="76" spans="1:5" x14ac:dyDescent="0.35">
      <c r="A76" s="18">
        <f t="shared" ref="A76:A77" si="9">+A75+0.1</f>
        <v>8.1999999999999993</v>
      </c>
      <c r="B76" s="1" t="s">
        <v>95</v>
      </c>
      <c r="C76" s="25">
        <f>-'Financial Statements'!B99/'Financial Statements'!B8</f>
        <v>5.6688847862692987E-2</v>
      </c>
      <c r="D76" s="25">
        <f>-'Financial Statements'!C99/'Financial Statements'!C8</f>
        <v>3.9760317317128507E-2</v>
      </c>
      <c r="E76" s="25">
        <f>-'Financial Statements'!D99/'Financial Statements'!D8</f>
        <v>1.5623918547256069E-2</v>
      </c>
    </row>
    <row r="77" spans="1:5" x14ac:dyDescent="0.35">
      <c r="A77" s="18">
        <f t="shared" si="9"/>
        <v>8.2999999999999989</v>
      </c>
      <c r="B77" s="1" t="s">
        <v>96</v>
      </c>
      <c r="C77" s="25">
        <f>-'Financial Statements'!B99/'Financial Statements'!B47</f>
        <v>0.10284794110881068</v>
      </c>
      <c r="D77" s="25">
        <f>-'Financial Statements'!C99/'Financial Statements'!C47</f>
        <v>6.7286252232080901E-2</v>
      </c>
      <c r="E77" s="25">
        <f>-'Financial Statements'!D99/'Financial Statements'!D47</f>
        <v>2.3804634383238519E-2</v>
      </c>
    </row>
  </sheetData>
  <mergeCells count="1">
    <mergeCell ref="C2:E2"/>
  </mergeCells>
  <pageMargins left="0.7" right="0.7" top="0.75" bottom="0.75" header="0.3" footer="0.3"/>
  <pageSetup paperSize="9" orientation="portrait" horizontalDpi="4294967292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Olabisi Imolehin-Olanipekun</cp:lastModifiedBy>
  <dcterms:created xsi:type="dcterms:W3CDTF">2020-05-18T16:32:37Z</dcterms:created>
  <dcterms:modified xsi:type="dcterms:W3CDTF">2024-08-08T15:40:10Z</dcterms:modified>
</cp:coreProperties>
</file>