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CP\"/>
    </mc:Choice>
  </mc:AlternateContent>
  <xr:revisionPtr revIDLastSave="0" documentId="13_ncr:1_{1CCA20AC-40D3-4204-AFEB-CE3AC0C2EAC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3" l="1"/>
  <c r="D46" i="3"/>
  <c r="C46" i="3"/>
  <c r="D50" i="3"/>
  <c r="E50" i="3"/>
  <c r="C50" i="3"/>
  <c r="E51" i="3"/>
  <c r="D51" i="3"/>
  <c r="C51" i="3"/>
  <c r="E42" i="3"/>
  <c r="D42" i="3"/>
  <c r="C42" i="3"/>
  <c r="C40" i="3"/>
  <c r="D40" i="3"/>
  <c r="E40" i="3"/>
  <c r="D43" i="3"/>
  <c r="E43" i="3"/>
  <c r="C43" i="3"/>
  <c r="J32" i="1"/>
  <c r="K32" i="1"/>
  <c r="I32" i="1"/>
  <c r="J31" i="1"/>
  <c r="K31" i="1"/>
  <c r="I31" i="1"/>
  <c r="L25" i="1"/>
  <c r="J25" i="1"/>
  <c r="H25" i="1"/>
  <c r="M22" i="1"/>
  <c r="K22" i="1"/>
  <c r="I22" i="1"/>
  <c r="M17" i="1"/>
  <c r="K17" i="1"/>
  <c r="I17" i="1"/>
  <c r="M16" i="1"/>
  <c r="M15" i="1"/>
  <c r="K16" i="1"/>
  <c r="K15" i="1"/>
  <c r="I16" i="1"/>
  <c r="I15" i="1"/>
  <c r="J13" i="1"/>
  <c r="M13" i="1"/>
  <c r="K13" i="1"/>
  <c r="I13" i="1"/>
  <c r="M12" i="1"/>
  <c r="K12" i="1"/>
  <c r="I12" i="1"/>
  <c r="J69" i="1"/>
  <c r="J68" i="1"/>
  <c r="H69" i="1"/>
  <c r="H68" i="1"/>
  <c r="J62" i="1"/>
  <c r="H62" i="1"/>
  <c r="J61" i="1"/>
  <c r="H61" i="1"/>
  <c r="J56" i="1"/>
  <c r="H56" i="1"/>
  <c r="J16" i="1"/>
  <c r="J15" i="1"/>
  <c r="H16" i="1"/>
  <c r="H15" i="1"/>
  <c r="J7" i="1"/>
  <c r="J6" i="1"/>
  <c r="H7" i="1"/>
  <c r="H6" i="1"/>
  <c r="D45" i="3"/>
  <c r="E45" i="3"/>
  <c r="C45" i="3"/>
  <c r="D41" i="3"/>
  <c r="E41" i="3"/>
  <c r="C41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D7" i="3" s="1"/>
  <c r="B56" i="1"/>
  <c r="D47" i="1"/>
  <c r="C47" i="1"/>
  <c r="J47" i="1" s="1"/>
  <c r="B47" i="1"/>
  <c r="D42" i="1"/>
  <c r="C42" i="1"/>
  <c r="B42" i="1"/>
  <c r="D17" i="1"/>
  <c r="E8" i="3" s="1"/>
  <c r="C17" i="1"/>
  <c r="D8" i="3" s="1"/>
  <c r="B17" i="1"/>
  <c r="C8" i="3" s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3" i="1" l="1"/>
  <c r="C18" i="1" s="1"/>
  <c r="D35" i="3"/>
  <c r="D11" i="3"/>
  <c r="J8" i="1"/>
  <c r="D34" i="3"/>
  <c r="D9" i="3"/>
  <c r="D12" i="3" s="1"/>
  <c r="D36" i="3"/>
  <c r="D10" i="3"/>
  <c r="H47" i="1"/>
  <c r="C14" i="3"/>
  <c r="C5" i="3"/>
  <c r="C13" i="3"/>
  <c r="C6" i="3"/>
  <c r="H42" i="1"/>
  <c r="D6" i="3"/>
  <c r="D5" i="3"/>
  <c r="D14" i="3"/>
  <c r="J42" i="1"/>
  <c r="D13" i="3"/>
  <c r="C10" i="3"/>
  <c r="C36" i="3"/>
  <c r="C9" i="3"/>
  <c r="E36" i="3"/>
  <c r="E9" i="3"/>
  <c r="E10" i="3"/>
  <c r="B48" i="1"/>
  <c r="D27" i="3"/>
  <c r="D25" i="3"/>
  <c r="E6" i="3"/>
  <c r="E5" i="3"/>
  <c r="E14" i="3"/>
  <c r="E13" i="3"/>
  <c r="C25" i="3"/>
  <c r="C27" i="3"/>
  <c r="B13" i="1"/>
  <c r="H8" i="1"/>
  <c r="C11" i="3"/>
  <c r="B62" i="1"/>
  <c r="C7" i="3"/>
  <c r="E25" i="3"/>
  <c r="E27" i="3"/>
  <c r="D13" i="1"/>
  <c r="E11" i="3"/>
  <c r="E35" i="3"/>
  <c r="C62" i="1"/>
  <c r="C69" i="1" s="1"/>
  <c r="B18" i="1"/>
  <c r="C48" i="1"/>
  <c r="D62" i="1"/>
  <c r="D69" i="1" s="1"/>
  <c r="D48" i="1"/>
  <c r="E26" i="3" s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20" i="1" l="1"/>
  <c r="D20" i="3"/>
  <c r="D19" i="3"/>
  <c r="D48" i="3"/>
  <c r="D21" i="3"/>
  <c r="D28" i="3"/>
  <c r="D18" i="3"/>
  <c r="H48" i="1"/>
  <c r="C26" i="3"/>
  <c r="E12" i="3"/>
  <c r="E34" i="3"/>
  <c r="C34" i="3"/>
  <c r="D18" i="1"/>
  <c r="E17" i="3"/>
  <c r="C12" i="3"/>
  <c r="C35" i="3"/>
  <c r="J48" i="1"/>
  <c r="D26" i="3"/>
  <c r="H13" i="1"/>
  <c r="C17" i="3"/>
  <c r="B20" i="1"/>
  <c r="C28" i="3"/>
  <c r="C18" i="3"/>
  <c r="C20" i="3"/>
  <c r="C19" i="3"/>
  <c r="C21" i="3"/>
  <c r="C48" i="3"/>
  <c r="D17" i="3"/>
  <c r="A33" i="3"/>
  <c r="B22" i="1" l="1"/>
  <c r="C29" i="3"/>
  <c r="D20" i="1"/>
  <c r="E20" i="3"/>
  <c r="E19" i="3"/>
  <c r="E28" i="3"/>
  <c r="E18" i="3"/>
  <c r="E48" i="3"/>
  <c r="E21" i="3"/>
  <c r="C22" i="1"/>
  <c r="D29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76" i="1" l="1"/>
  <c r="C91" i="1" s="1"/>
  <c r="D47" i="3"/>
  <c r="D37" i="3"/>
  <c r="D49" i="3"/>
  <c r="D22" i="3"/>
  <c r="D44" i="3"/>
  <c r="B76" i="1"/>
  <c r="B91" i="1" s="1"/>
  <c r="C44" i="3"/>
  <c r="C49" i="3"/>
  <c r="C47" i="3"/>
  <c r="C22" i="3"/>
  <c r="C37" i="3"/>
  <c r="D22" i="1"/>
  <c r="E29" i="3"/>
  <c r="D76" i="1" l="1"/>
  <c r="D91" i="1" s="1"/>
  <c r="E44" i="3"/>
  <c r="E47" i="3"/>
  <c r="E49" i="3"/>
  <c r="E22" i="3"/>
  <c r="E37" i="3"/>
  <c r="C109" i="1"/>
  <c r="D31" i="3"/>
  <c r="D30" i="3" s="1"/>
  <c r="B109" i="1"/>
  <c r="C31" i="3"/>
  <c r="C30" i="3" s="1"/>
  <c r="D109" i="1" l="1"/>
  <c r="E31" i="3"/>
  <c r="E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Vivek</author>
  </authors>
  <commentList>
    <comment ref="C9" authorId="0" shapeId="0" xr:uid="{37EEED99-D9C4-4833-8ABD-DFF35F703FDE}">
      <text>
        <r>
          <rPr>
            <b/>
            <sz val="9"/>
            <color indexed="81"/>
            <rFont val="Tahoma"/>
            <family val="2"/>
          </rPr>
          <t xml:space="preserve">Vivek: </t>
        </r>
        <r>
          <rPr>
            <sz val="9"/>
            <color indexed="81"/>
            <rFont val="Tahoma"/>
            <family val="2"/>
          </rPr>
          <t xml:space="preserve">Have taken the average inventory
</t>
        </r>
      </text>
    </comment>
    <comment ref="E9" authorId="0" shapeId="0" xr:uid="{3C9B6872-1A2C-4428-81D6-772B0F826D12}">
      <text>
        <r>
          <rPr>
            <b/>
            <sz val="9"/>
            <color indexed="81"/>
            <rFont val="Tahoma"/>
            <family val="2"/>
          </rPr>
          <t>Vivek:</t>
        </r>
        <r>
          <rPr>
            <sz val="9"/>
            <color indexed="81"/>
            <rFont val="Tahoma"/>
            <family val="2"/>
          </rPr>
          <t xml:space="preserve">
Opening Inventory was not given, therefore considering the inventory as average inventory</t>
        </r>
      </text>
    </comment>
    <comment ref="C10" authorId="0" shapeId="0" xr:uid="{1DDF12A5-A088-4B49-8E7D-D5E6F731E38F}">
      <text>
        <r>
          <rPr>
            <b/>
            <sz val="9"/>
            <color indexed="81"/>
            <rFont val="Tahoma"/>
            <family val="2"/>
          </rPr>
          <t xml:space="preserve">Vivek: </t>
        </r>
        <r>
          <rPr>
            <sz val="9"/>
            <color indexed="81"/>
            <rFont val="Tahoma"/>
            <family val="2"/>
          </rPr>
          <t>Have taken the average payable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8A091974-CC45-4AF8-9357-883DA2E38A8A}">
      <text>
        <r>
          <rPr>
            <b/>
            <sz val="9"/>
            <color indexed="81"/>
            <rFont val="Tahoma"/>
            <family val="2"/>
          </rPr>
          <t>Vivek:</t>
        </r>
        <r>
          <rPr>
            <sz val="9"/>
            <color indexed="81"/>
            <rFont val="Tahoma"/>
            <family val="2"/>
          </rPr>
          <t xml:space="preserve">
Opening payable was not given, therefore considering the payable as average payable</t>
        </r>
      </text>
    </comment>
    <comment ref="C11" authorId="0" shapeId="0" xr:uid="{95D52C1E-16C8-46D4-B4A6-565BCF9A4728}">
      <text>
        <r>
          <rPr>
            <b/>
            <sz val="9"/>
            <color indexed="81"/>
            <rFont val="Tahoma"/>
            <family val="2"/>
          </rPr>
          <t xml:space="preserve">Vivek: </t>
        </r>
        <r>
          <rPr>
            <sz val="9"/>
            <color indexed="81"/>
            <rFont val="Tahoma"/>
            <family val="2"/>
          </rPr>
          <t xml:space="preserve">Have taken the average receivable. Since, Credit sales were not given considering Net sales as Credit sales
</t>
        </r>
      </text>
    </comment>
    <comment ref="E11" authorId="0" shapeId="0" xr:uid="{62124031-1167-4686-9D89-E8253021C6B0}">
      <text>
        <r>
          <rPr>
            <b/>
            <sz val="9"/>
            <color indexed="81"/>
            <rFont val="Tahoma"/>
            <family val="2"/>
          </rPr>
          <t>Vivek:</t>
        </r>
        <r>
          <rPr>
            <sz val="9"/>
            <color indexed="81"/>
            <rFont val="Tahoma"/>
            <family val="2"/>
          </rPr>
          <t xml:space="preserve">
Opening receivable was not given, therefore considering the receivable as average receivable</t>
        </r>
      </text>
    </comment>
    <comment ref="C34" authorId="0" shapeId="0" xr:uid="{FE505FA7-12AE-4E57-87E4-10EDFB2B55D0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asset as average asset</t>
        </r>
      </text>
    </comment>
    <comment ref="D34" authorId="0" shapeId="0" xr:uid="{2D435329-DA4A-48D9-9ED4-B3ECE6FB7912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asset as average asset</t>
        </r>
      </text>
    </comment>
    <comment ref="E34" authorId="0" shapeId="0" xr:uid="{F4213215-F286-4276-BF6C-257A203D26A1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asset as average asset</t>
        </r>
      </text>
    </comment>
    <comment ref="C35" authorId="0" shapeId="0" xr:uid="{ACA3FCAD-260D-4F89-8FDB-93EEE5849B2B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asset as average asset</t>
        </r>
      </text>
    </comment>
    <comment ref="D35" authorId="0" shapeId="0" xr:uid="{194CF374-1ED0-4FCF-91AB-BA2F0F8ED815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asset as average asset</t>
        </r>
      </text>
    </comment>
    <comment ref="E35" authorId="0" shapeId="0" xr:uid="{B9DE3711-781A-4EBB-8FFA-799E64BEE7EF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asset as average asset</t>
        </r>
      </text>
    </comment>
    <comment ref="C36" authorId="0" shapeId="0" xr:uid="{6A3C4C34-F4E5-42E6-B531-A707C0459AD7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Inventory as average Inventory</t>
        </r>
      </text>
    </comment>
    <comment ref="D36" authorId="0" shapeId="0" xr:uid="{13473FB7-A192-44E7-8690-4649CF07ED04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Inventory as average Inventory</t>
        </r>
      </text>
    </comment>
    <comment ref="E36" authorId="0" shapeId="0" xr:uid="{EB364B0F-2BAD-464E-A683-3DFDAFF76B5F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Inventory as average Inventory</t>
        </r>
      </text>
    </comment>
    <comment ref="C37" authorId="0" shapeId="0" xr:uid="{99F47A2E-F30E-4B4A-8573-0DDAD2F9297D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asset as average asset</t>
        </r>
      </text>
    </comment>
    <comment ref="D37" authorId="0" shapeId="0" xr:uid="{57AA21D6-EA59-42E7-883D-E9FEC7110E04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asset as average asset</t>
        </r>
      </text>
    </comment>
    <comment ref="E37" authorId="0" shapeId="0" xr:uid="{4AB821A1-6499-418A-9A29-68E0DADBEF9D}">
      <text>
        <r>
          <rPr>
            <b/>
            <sz val="9"/>
            <color indexed="81"/>
            <rFont val="Tahoma"/>
            <charset val="1"/>
          </rPr>
          <t>Vivek:</t>
        </r>
        <r>
          <rPr>
            <sz val="9"/>
            <color indexed="81"/>
            <rFont val="Tahoma"/>
            <charset val="1"/>
          </rPr>
          <t xml:space="preserve">
Have considered total asset as average asset</t>
        </r>
      </text>
    </comment>
  </commentList>
</comments>
</file>

<file path=xl/sharedStrings.xml><?xml version="1.0" encoding="utf-8"?>
<sst xmlns="http://schemas.openxmlformats.org/spreadsheetml/2006/main" count="215" uniqueCount="155">
  <si>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</si>
  <si>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</si>
  <si>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</si>
  <si>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</si>
  <si>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</si>
  <si>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</si>
  <si>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</si>
  <si>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</si>
  <si>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</si>
  <si>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</si>
  <si>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</si>
  <si>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</si>
  <si>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</si>
  <si>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</si>
  <si>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</si>
  <si>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</si>
  <si>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</si>
  <si>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</si>
  <si>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</si>
  <si>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</si>
  <si>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</si>
  <si>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</si>
  <si>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</si>
  <si>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</si>
  <si>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</si>
  <si>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</si>
  <si>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</si>
  <si>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</si>
  <si>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</si>
  <si>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</si>
  <si>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</si>
  <si>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</si>
  <si>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</si>
  <si>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</si>
  <si>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</si>
  <si>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</si>
  <si>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</si>
  <si>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</si>
  <si>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</si>
  <si>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</si>
  <si>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</si>
  <si>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</si>
  <si>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</si>
  <si>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</si>
  <si>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</si>
  <si>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</si>
  <si>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</si>
  <si>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</si>
  <si>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</si>
  <si>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</si>
  <si>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</si>
  <si>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</si>
  <si>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</si>
  <si>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</si>
  <si>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</si>
  <si>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</si>
  <si>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</si>
  <si>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</si>
  <si>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</si>
  <si>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</si>
  <si>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</si>
  <si>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</si>
  <si>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</si>
  <si>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</si>
  <si>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</si>
  <si>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</si>
  <si>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</si>
  <si>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</si>
  <si>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</si>
  <si>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</si>
  <si>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</si>
  <si>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</si>
  <si>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</si>
  <si>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</si>
  <si>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</si>
  <si>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</si>
  <si>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</si>
  <si>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</si>
  <si>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</si>
  <si>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</si>
  <si>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</si>
  <si>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</si>
  <si>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</si>
  <si>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</si>
  <si>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</si>
  <si>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</si>
  <si>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</si>
  <si>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</si>
  <si>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</si>
  <si>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</si>
  <si>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</si>
  <si>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</si>
  <si>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</si>
  <si>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</si>
  <si>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</si>
  <si>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</si>
  <si>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</si>
  <si>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</si>
  <si>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</si>
  <si>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</si>
  <si>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</si>
  <si>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</si>
  <si>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</si>
  <si>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</si>
  <si>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</si>
  <si>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</si>
  <si>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</si>
  <si>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</si>
  <si>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</si>
  <si>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</si>
  <si>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</si>
  <si>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</si>
  <si>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</si>
  <si>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</si>
  <si>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</si>
  <si>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</si>
  <si>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</si>
  <si>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</si>
  <si>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</si>
  <si>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</si>
  <si>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</si>
  <si>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</si>
  <si>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</si>
  <si>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</si>
  <si>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</si>
  <si>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</si>
  <si>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</si>
  <si>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</si>
  <si>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</si>
  <si>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</si>
  <si>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</si>
  <si>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</si>
  <si>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</si>
  <si>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</si>
  <si>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</si>
  <si>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</si>
  <si>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</si>
  <si>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</si>
  <si>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</si>
  <si>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</si>
  <si>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</si>
  <si>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</si>
  <si>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</si>
  <si>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</si>
  <si>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</si>
  <si>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</si>
  <si>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</si>
  <si>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</si>
  <si>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</si>
  <si>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</si>
  <si>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 and as a % of net sales</t>
  </si>
  <si>
    <t>Growth Rate</t>
  </si>
  <si>
    <t>As a % of net sales</t>
  </si>
  <si>
    <t>-</t>
  </si>
  <si>
    <t>Income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</si>
</sst>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  <numFmt numFmtId="168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8" fontId="0" fillId="0" borderId="0" xfId="3" applyNumberFormat="1" applyFont="1"/>
    <xf numFmtId="10" fontId="0" fillId="0" borderId="0" xfId="3" applyNumberFormat="1" applyFont="1" applyAlignment="1">
      <alignment horizontal="center"/>
    </xf>
    <xf numFmtId="164" fontId="0" fillId="0" borderId="0" xfId="1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5" borderId="0" xfId="0" applyFont="1" applyFill="1" applyAlignment="1">
      <alignment wrapText="1"/>
    </xf>
    <xf numFmtId="0" fontId="2" fillId="6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8" borderId="0" xfId="0" applyFont="1" applyFill="1" applyAlignment="1">
      <alignment wrapText="1"/>
    </xf>
    <xf numFmtId="0" fontId="2" fillId="9" borderId="0" xfId="0" applyFont="1" applyFill="1" applyAlignment="1">
      <alignment wrapText="1"/>
    </xf>
    <xf numFmtId="10" fontId="0" fillId="0" borderId="0" xfId="3" applyNumberFormat="1" applyFont="1" applyAlignment="1"/>
    <xf numFmtId="10" fontId="0" fillId="10" borderId="0" xfId="3" applyNumberFormat="1" applyFont="1" applyFill="1" applyAlignment="1">
      <alignment horizontal="center"/>
    </xf>
    <xf numFmtId="0" fontId="2" fillId="0" borderId="0" xfId="0" applyFon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07A90B2-171C-4415-A710-AC17C296C921}">
  <we:reference id="wa200005271" version="2.2.0.0" store="en-US" storeType="OMEX"/>
  <we:alternateReferences>
    <we:reference id="wa200005271" version="2.2.0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opLeftCell="A11" workbookViewId="0">
      <selection activeCell="B28" sqref="B28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2" x14ac:dyDescent="0.3">
      <c r="A17" s="1" t="s">
        <v>90</v>
      </c>
    </row>
    <row r="18" spans="1:2" x14ac:dyDescent="0.3">
      <c r="A18" s="1" t="s">
        <v>14</v>
      </c>
    </row>
    <row r="19" spans="1:2" x14ac:dyDescent="0.3">
      <c r="A19" s="1" t="s">
        <v>93</v>
      </c>
    </row>
    <row r="20" spans="1:2" x14ac:dyDescent="0.3">
      <c r="A20" s="1"/>
    </row>
    <row r="21" spans="1:2" x14ac:dyDescent="0.3">
      <c r="A21" s="17" t="s">
        <v>98</v>
      </c>
    </row>
    <row r="22" spans="1:2" x14ac:dyDescent="0.3">
      <c r="A22" s="1" t="s">
        <v>94</v>
      </c>
    </row>
    <row r="23" spans="1:2" x14ac:dyDescent="0.3">
      <c r="A23" s="1" t="s">
        <v>95</v>
      </c>
    </row>
    <row r="24" spans="1:2" x14ac:dyDescent="0.3">
      <c r="A24" s="1" t="s">
        <v>96</v>
      </c>
    </row>
    <row r="25" spans="1:2" x14ac:dyDescent="0.3">
      <c r="A25" s="1"/>
    </row>
    <row r="26" spans="1:2" x14ac:dyDescent="0.3">
      <c r="A26" s="17" t="s">
        <v>144</v>
      </c>
    </row>
    <row r="27" spans="1:2" x14ac:dyDescent="0.3">
      <c r="A27" s="16" t="s">
        <v>143</v>
      </c>
      <c r="B27">
        <v>207.23</v>
      </c>
    </row>
    <row r="29" spans="1:2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4"/>
  <sheetViews>
    <sheetView topLeftCell="A73" zoomScale="85" zoomScaleNormal="85" workbookViewId="0">
      <selection activeCell="B102" sqref="B102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6" max="6" width="37.44140625" bestFit="1" customWidth="1"/>
  </cols>
  <sheetData>
    <row r="1" spans="1:15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5" x14ac:dyDescent="0.3">
      <c r="A2" s="32" t="s">
        <v>1</v>
      </c>
      <c r="B2" s="32"/>
      <c r="C2" s="32"/>
      <c r="D2" s="32"/>
      <c r="G2" s="32" t="s">
        <v>150</v>
      </c>
      <c r="H2" s="32"/>
      <c r="I2" s="32"/>
      <c r="J2" s="32"/>
      <c r="K2" s="32"/>
      <c r="L2" s="32"/>
      <c r="M2" s="32"/>
      <c r="N2" s="32"/>
      <c r="O2" s="32"/>
    </row>
    <row r="3" spans="1:15" x14ac:dyDescent="0.3">
      <c r="B3" s="33" t="s">
        <v>23</v>
      </c>
      <c r="C3" s="33"/>
      <c r="D3" s="33"/>
      <c r="I3" s="33" t="s">
        <v>23</v>
      </c>
      <c r="J3" s="33"/>
      <c r="K3" s="33"/>
    </row>
    <row r="4" spans="1:15" x14ac:dyDescent="0.3">
      <c r="B4" s="7">
        <v>2022</v>
      </c>
      <c r="C4" s="7">
        <v>2021</v>
      </c>
      <c r="D4" s="7">
        <v>2020</v>
      </c>
      <c r="H4" s="33">
        <v>2022</v>
      </c>
      <c r="I4" s="33"/>
      <c r="J4" s="33">
        <v>2021</v>
      </c>
      <c r="K4" s="33"/>
      <c r="L4" s="33">
        <v>2020</v>
      </c>
      <c r="M4" s="33"/>
    </row>
    <row r="5" spans="1:15" ht="28.8" x14ac:dyDescent="0.3">
      <c r="A5" t="s">
        <v>3</v>
      </c>
      <c r="H5" s="35" t="s">
        <v>151</v>
      </c>
      <c r="I5" s="36" t="s">
        <v>152</v>
      </c>
      <c r="J5" s="37" t="s">
        <v>151</v>
      </c>
      <c r="K5" s="36" t="s">
        <v>152</v>
      </c>
      <c r="L5" s="38" t="s">
        <v>151</v>
      </c>
      <c r="M5" s="39" t="s">
        <v>152</v>
      </c>
    </row>
    <row r="6" spans="1:15" x14ac:dyDescent="0.3">
      <c r="A6" s="1" t="s">
        <v>4</v>
      </c>
      <c r="B6" s="12">
        <v>316199</v>
      </c>
      <c r="C6" s="12">
        <v>297392</v>
      </c>
      <c r="D6" s="12">
        <v>220747</v>
      </c>
      <c r="F6" s="17" t="s">
        <v>4</v>
      </c>
      <c r="H6" s="40">
        <f>(B6/C6)-1</f>
        <v>6.3239764351428418E-2</v>
      </c>
      <c r="I6" s="34"/>
      <c r="J6" s="40">
        <f>(C6/D6)-1</f>
        <v>0.34720743656765429</v>
      </c>
      <c r="K6" s="34"/>
      <c r="L6" s="34" t="s">
        <v>153</v>
      </c>
      <c r="M6" s="34"/>
    </row>
    <row r="7" spans="1:15" x14ac:dyDescent="0.3">
      <c r="A7" s="1" t="s">
        <v>5</v>
      </c>
      <c r="B7" s="12">
        <v>78129</v>
      </c>
      <c r="C7" s="12">
        <v>68425</v>
      </c>
      <c r="D7" s="12">
        <v>53768</v>
      </c>
      <c r="F7" s="17" t="s">
        <v>5</v>
      </c>
      <c r="H7" s="40">
        <f t="shared" ref="H7:H8" si="0">(B7/C7)-1</f>
        <v>0.14181951041286078</v>
      </c>
      <c r="I7" s="34"/>
      <c r="J7" s="40">
        <f t="shared" ref="J7:J8" si="1">(C7/D7)-1</f>
        <v>0.27259708376729663</v>
      </c>
      <c r="K7" s="34"/>
      <c r="L7" s="34" t="s">
        <v>153</v>
      </c>
      <c r="M7" s="34"/>
    </row>
    <row r="8" spans="1:15" x14ac:dyDescent="0.3">
      <c r="A8" s="8" t="s">
        <v>6</v>
      </c>
      <c r="B8" s="13">
        <f>+B6+B7</f>
        <v>394328</v>
      </c>
      <c r="C8" s="13">
        <f t="shared" ref="C8:D8" si="2">+C6+C7</f>
        <v>365817</v>
      </c>
      <c r="D8" s="13">
        <f t="shared" si="2"/>
        <v>274515</v>
      </c>
      <c r="F8" s="7" t="s">
        <v>6</v>
      </c>
      <c r="H8" s="40">
        <f t="shared" si="0"/>
        <v>7.7937876041846099E-2</v>
      </c>
      <c r="I8" s="34"/>
      <c r="J8" s="40">
        <f t="shared" si="1"/>
        <v>0.33259384733074704</v>
      </c>
      <c r="K8" s="34"/>
      <c r="L8" s="34" t="s">
        <v>153</v>
      </c>
      <c r="M8" s="34"/>
    </row>
    <row r="9" spans="1:15" x14ac:dyDescent="0.3">
      <c r="A9" t="s">
        <v>7</v>
      </c>
      <c r="B9" s="12"/>
      <c r="C9" s="12"/>
      <c r="D9" s="12"/>
      <c r="H9" s="34"/>
      <c r="I9" s="34"/>
      <c r="J9" s="34"/>
      <c r="K9" s="34"/>
      <c r="L9" s="34"/>
      <c r="M9" s="34"/>
    </row>
    <row r="10" spans="1:15" x14ac:dyDescent="0.3">
      <c r="A10" s="1" t="s">
        <v>4</v>
      </c>
      <c r="B10" s="12">
        <v>201471</v>
      </c>
      <c r="C10" s="12">
        <v>192266</v>
      </c>
      <c r="D10" s="12">
        <v>151286</v>
      </c>
      <c r="H10" s="34"/>
      <c r="I10" s="34"/>
      <c r="J10" s="34"/>
      <c r="K10" s="34"/>
      <c r="L10" s="34"/>
      <c r="M10" s="34"/>
    </row>
    <row r="11" spans="1:15" x14ac:dyDescent="0.3">
      <c r="A11" s="1" t="s">
        <v>5</v>
      </c>
      <c r="B11" s="12">
        <v>22075</v>
      </c>
      <c r="C11" s="12">
        <v>20715</v>
      </c>
      <c r="D11" s="12">
        <v>18273</v>
      </c>
      <c r="H11" s="34"/>
      <c r="I11" s="34"/>
      <c r="J11" s="34"/>
      <c r="K11" s="34"/>
      <c r="L11" s="34"/>
      <c r="M11" s="34"/>
    </row>
    <row r="12" spans="1:15" x14ac:dyDescent="0.3">
      <c r="A12" s="8" t="s">
        <v>8</v>
      </c>
      <c r="B12" s="13">
        <f>+B10+B11</f>
        <v>223546</v>
      </c>
      <c r="C12" s="13">
        <f t="shared" ref="C12:D12" si="3">+C10+C11</f>
        <v>212981</v>
      </c>
      <c r="D12" s="13">
        <f t="shared" si="3"/>
        <v>169559</v>
      </c>
      <c r="F12" s="7" t="s">
        <v>8</v>
      </c>
      <c r="H12" s="34"/>
      <c r="I12" s="40">
        <f>B12/B8</f>
        <v>0.56690369438639909</v>
      </c>
      <c r="J12" s="34"/>
      <c r="K12" s="40">
        <f>C12/C8</f>
        <v>0.58220640374832222</v>
      </c>
      <c r="L12" s="34"/>
      <c r="M12" s="40">
        <f>D12/D8</f>
        <v>0.61766752272189129</v>
      </c>
    </row>
    <row r="13" spans="1:15" x14ac:dyDescent="0.3">
      <c r="A13" s="8" t="s">
        <v>9</v>
      </c>
      <c r="B13" s="13">
        <f>+B8-B12</f>
        <v>170782</v>
      </c>
      <c r="C13" s="13">
        <f t="shared" ref="C13:D13" si="4">+C8-C12</f>
        <v>152836</v>
      </c>
      <c r="D13" s="13">
        <f t="shared" si="4"/>
        <v>104956</v>
      </c>
      <c r="F13" s="7" t="s">
        <v>9</v>
      </c>
      <c r="H13" s="40">
        <f t="shared" ref="H13:H16" si="5">(B13/C13)-1</f>
        <v>0.1174199795859614</v>
      </c>
      <c r="I13" s="40">
        <f>B13/B8</f>
        <v>0.43309630561360085</v>
      </c>
      <c r="J13" s="40">
        <f>C13/C8</f>
        <v>0.41779359625167778</v>
      </c>
      <c r="K13" s="40">
        <f>C13/C8</f>
        <v>0.41779359625167778</v>
      </c>
      <c r="L13" s="34" t="s">
        <v>153</v>
      </c>
      <c r="M13" s="40">
        <f>D13/D8</f>
        <v>0.38233247727810865</v>
      </c>
    </row>
    <row r="14" spans="1:15" x14ac:dyDescent="0.3">
      <c r="A14" t="s">
        <v>10</v>
      </c>
      <c r="B14" s="12"/>
      <c r="C14" s="12"/>
      <c r="D14" s="12"/>
      <c r="H14" s="34"/>
      <c r="I14" s="34"/>
      <c r="J14" s="34"/>
      <c r="K14" s="34"/>
      <c r="L14" s="34"/>
      <c r="M14" s="34"/>
    </row>
    <row r="15" spans="1:15" x14ac:dyDescent="0.3">
      <c r="A15" s="1" t="s">
        <v>11</v>
      </c>
      <c r="B15" s="12">
        <v>26251</v>
      </c>
      <c r="C15" s="12">
        <v>21914</v>
      </c>
      <c r="D15" s="12">
        <v>18752</v>
      </c>
      <c r="F15" s="17" t="s">
        <v>11</v>
      </c>
      <c r="H15" s="40">
        <f t="shared" si="5"/>
        <v>0.19791001186456136</v>
      </c>
      <c r="I15" s="40">
        <f>B15/B8</f>
        <v>6.657148363798665E-2</v>
      </c>
      <c r="J15" s="40">
        <f t="shared" ref="J13:J16" si="6">(C15/D15)-1</f>
        <v>0.16862201365187723</v>
      </c>
      <c r="K15" s="40">
        <f>C15/C8</f>
        <v>5.9904269074427925E-2</v>
      </c>
      <c r="L15" s="34" t="s">
        <v>153</v>
      </c>
      <c r="M15" s="40">
        <f>D15/D8</f>
        <v>6.8309564140393061E-2</v>
      </c>
    </row>
    <row r="16" spans="1:15" x14ac:dyDescent="0.3">
      <c r="A16" s="1" t="s">
        <v>12</v>
      </c>
      <c r="B16" s="12">
        <v>25094</v>
      </c>
      <c r="C16" s="12">
        <v>21973</v>
      </c>
      <c r="D16" s="12">
        <v>19916</v>
      </c>
      <c r="F16" s="17" t="s">
        <v>12</v>
      </c>
      <c r="H16" s="40">
        <f t="shared" si="5"/>
        <v>0.14203795567287125</v>
      </c>
      <c r="I16" s="40">
        <f>B16/B8</f>
        <v>6.3637378020328261E-2</v>
      </c>
      <c r="J16" s="40">
        <f t="shared" si="6"/>
        <v>0.10328379192608961</v>
      </c>
      <c r="K16" s="40">
        <f>C16/C8</f>
        <v>6.006555190163388E-2</v>
      </c>
      <c r="L16" s="34" t="s">
        <v>153</v>
      </c>
      <c r="M16" s="40">
        <f>D16/D8</f>
        <v>7.2549769593646979E-2</v>
      </c>
    </row>
    <row r="17" spans="1:13" x14ac:dyDescent="0.3">
      <c r="A17" s="8" t="s">
        <v>13</v>
      </c>
      <c r="B17" s="13">
        <f>+B15+B16</f>
        <v>51345</v>
      </c>
      <c r="C17" s="13">
        <f t="shared" ref="C17" si="7">+C15+C16</f>
        <v>43887</v>
      </c>
      <c r="D17" s="13">
        <f t="shared" ref="D17" si="8">+D15+D16</f>
        <v>38668</v>
      </c>
      <c r="F17" s="17" t="s">
        <v>14</v>
      </c>
      <c r="I17" s="28">
        <f>B18/B8</f>
        <v>0.30288744395528594</v>
      </c>
      <c r="K17" s="28">
        <f>C18/C8</f>
        <v>0.29782377527561593</v>
      </c>
      <c r="M17" s="28">
        <f>D18/D8</f>
        <v>0.24147314354406862</v>
      </c>
    </row>
    <row r="18" spans="1:13" s="7" customFormat="1" x14ac:dyDescent="0.3">
      <c r="A18" s="8" t="s">
        <v>14</v>
      </c>
      <c r="B18" s="13">
        <f>+B13-B17</f>
        <v>119437</v>
      </c>
      <c r="C18" s="13">
        <f t="shared" ref="C18:D18" si="9">+C13-C17</f>
        <v>108949</v>
      </c>
      <c r="D18" s="13">
        <f t="shared" si="9"/>
        <v>66288</v>
      </c>
    </row>
    <row r="19" spans="1:13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13" x14ac:dyDescent="0.3">
      <c r="A20" s="8" t="s">
        <v>16</v>
      </c>
      <c r="B20" s="13">
        <f>+B18+B19</f>
        <v>119103</v>
      </c>
      <c r="C20" s="13">
        <f t="shared" ref="C20:D20" si="10">+C18+C19</f>
        <v>109207</v>
      </c>
      <c r="D20" s="13">
        <f t="shared" si="10"/>
        <v>67091</v>
      </c>
    </row>
    <row r="21" spans="1:13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13" ht="15" thickBot="1" x14ac:dyDescent="0.35">
      <c r="A22" s="9" t="s">
        <v>18</v>
      </c>
      <c r="B22" s="14">
        <f>+B20-B21</f>
        <v>99803</v>
      </c>
      <c r="C22" s="14">
        <f t="shared" ref="C22:D22" si="11">+C20-C21</f>
        <v>94680</v>
      </c>
      <c r="D22" s="14">
        <f t="shared" si="11"/>
        <v>57411</v>
      </c>
      <c r="F22" s="17" t="s">
        <v>18</v>
      </c>
      <c r="I22" s="28">
        <f>B22/B8</f>
        <v>0.25309640705199732</v>
      </c>
      <c r="K22" s="28">
        <f>C22/C8</f>
        <v>0.25881793355694238</v>
      </c>
      <c r="M22" s="28">
        <f>D22/D8</f>
        <v>0.20913611278072236</v>
      </c>
    </row>
    <row r="23" spans="1:13" ht="15" thickTop="1" x14ac:dyDescent="0.3">
      <c r="A23" t="s">
        <v>19</v>
      </c>
    </row>
    <row r="24" spans="1:13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13" x14ac:dyDescent="0.3">
      <c r="A25" s="1" t="s">
        <v>21</v>
      </c>
      <c r="B25" s="10">
        <v>6.11</v>
      </c>
      <c r="C25" s="10">
        <v>5.61</v>
      </c>
      <c r="D25" s="10">
        <v>3.28</v>
      </c>
      <c r="F25" s="17" t="s">
        <v>154</v>
      </c>
      <c r="H25" s="41">
        <f>B21/B20</f>
        <v>0.16204461684424407</v>
      </c>
      <c r="I25" s="41"/>
      <c r="J25" s="41">
        <f>C21/C20</f>
        <v>0.13302260844085087</v>
      </c>
      <c r="K25" s="41"/>
      <c r="L25" s="41">
        <f>D21/D20</f>
        <v>0.14428164731484103</v>
      </c>
      <c r="M25" s="41"/>
    </row>
    <row r="26" spans="1:13" x14ac:dyDescent="0.3">
      <c r="A26" t="s">
        <v>22</v>
      </c>
    </row>
    <row r="27" spans="1:13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13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0" spans="1:13" x14ac:dyDescent="0.3">
      <c r="I30" s="42">
        <v>2022</v>
      </c>
      <c r="J30" s="42">
        <v>2021</v>
      </c>
      <c r="K30" s="7">
        <v>2020</v>
      </c>
    </row>
    <row r="31" spans="1:13" x14ac:dyDescent="0.3">
      <c r="A31" s="32" t="s">
        <v>24</v>
      </c>
      <c r="B31" s="32"/>
      <c r="C31" s="32"/>
      <c r="D31" s="32"/>
      <c r="F31" s="17" t="s">
        <v>95</v>
      </c>
      <c r="I31" s="28">
        <f>(B45-C45+B79)/B8</f>
        <v>3.4948063541011543E-2</v>
      </c>
      <c r="J31" s="28">
        <f t="shared" ref="J31:K31" si="12">(C45-D45+C79)/C8</f>
        <v>3.8155689866791319E-2</v>
      </c>
      <c r="K31" s="28">
        <f t="shared" si="12"/>
        <v>0.17420541682603866</v>
      </c>
    </row>
    <row r="32" spans="1:13" x14ac:dyDescent="0.3">
      <c r="B32" s="33" t="s">
        <v>142</v>
      </c>
      <c r="C32" s="33"/>
      <c r="D32" s="33"/>
      <c r="F32" s="17" t="s">
        <v>96</v>
      </c>
      <c r="I32" s="28">
        <f>(B45-C45+B79)/B45</f>
        <v>0.32720754089797471</v>
      </c>
      <c r="J32" s="28">
        <f t="shared" ref="J32:K32" si="13">(C45-D45+C79)/C45</f>
        <v>0.35390466531440162</v>
      </c>
      <c r="K32" s="28">
        <f t="shared" si="13"/>
        <v>1.3007126149159549</v>
      </c>
    </row>
    <row r="33" spans="1:12" x14ac:dyDescent="0.3">
      <c r="B33" s="7">
        <f>+B4</f>
        <v>2022</v>
      </c>
      <c r="C33" s="7">
        <f t="shared" ref="C33:D33" si="14">+C4</f>
        <v>2021</v>
      </c>
      <c r="D33" s="7">
        <f t="shared" si="14"/>
        <v>2020</v>
      </c>
    </row>
    <row r="35" spans="1:12" x14ac:dyDescent="0.3">
      <c r="A35" t="s">
        <v>25</v>
      </c>
    </row>
    <row r="36" spans="1:12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12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12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12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12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12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12" x14ac:dyDescent="0.3">
      <c r="A42" s="8" t="s">
        <v>31</v>
      </c>
      <c r="B42" s="13">
        <f>+SUM(B36:B41)</f>
        <v>135405</v>
      </c>
      <c r="C42" s="13">
        <f t="shared" ref="C42:D42" si="15">+SUM(C36:C41)</f>
        <v>134836</v>
      </c>
      <c r="D42" s="13">
        <f t="shared" si="15"/>
        <v>143713</v>
      </c>
      <c r="F42" s="7" t="s">
        <v>31</v>
      </c>
      <c r="H42" s="28">
        <f t="shared" ref="H42" si="16">(B42/C42)-1</f>
        <v>4.2199412619774446E-3</v>
      </c>
      <c r="J42" s="28">
        <f t="shared" ref="J42" si="17">(C42/D42)-1</f>
        <v>-6.1768942266879123E-2</v>
      </c>
      <c r="L42" s="27" t="s">
        <v>153</v>
      </c>
    </row>
    <row r="43" spans="1:12" x14ac:dyDescent="0.3">
      <c r="A43" t="s">
        <v>48</v>
      </c>
      <c r="B43" s="12"/>
      <c r="C43" s="12"/>
      <c r="D43" s="12"/>
    </row>
    <row r="44" spans="1:12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12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12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12" x14ac:dyDescent="0.3">
      <c r="A47" s="8" t="s">
        <v>50</v>
      </c>
      <c r="B47" s="13">
        <f>+SUM(B44:B46)</f>
        <v>217350</v>
      </c>
      <c r="C47" s="13">
        <f t="shared" ref="C47:D47" si="18">+SUM(C44:C46)</f>
        <v>216166</v>
      </c>
      <c r="D47" s="13">
        <f t="shared" si="18"/>
        <v>180175</v>
      </c>
      <c r="F47" s="7" t="s">
        <v>50</v>
      </c>
      <c r="H47" s="28">
        <f t="shared" ref="H47:H48" si="19">(B47/C47)-1</f>
        <v>5.477272096444441E-3</v>
      </c>
      <c r="J47" s="28">
        <f t="shared" ref="J47:J48" si="20">(C47/D47)-1</f>
        <v>0.19975579297904811</v>
      </c>
      <c r="L47" s="27" t="s">
        <v>153</v>
      </c>
    </row>
    <row r="48" spans="1:12" ht="15" thickBot="1" x14ac:dyDescent="0.35">
      <c r="A48" s="9" t="s">
        <v>33</v>
      </c>
      <c r="B48" s="14">
        <f>+B42+B47</f>
        <v>352755</v>
      </c>
      <c r="C48" s="14">
        <f t="shared" ref="C48:D48" si="21">+C42+C47</f>
        <v>351002</v>
      </c>
      <c r="D48" s="14">
        <f t="shared" si="21"/>
        <v>323888</v>
      </c>
      <c r="F48" s="7" t="s">
        <v>33</v>
      </c>
      <c r="H48" s="28">
        <f t="shared" si="19"/>
        <v>4.994273536902849E-3</v>
      </c>
      <c r="J48" s="28">
        <f t="shared" si="20"/>
        <v>8.3714123400681739E-2</v>
      </c>
      <c r="L48" s="27" t="s">
        <v>153</v>
      </c>
    </row>
    <row r="49" spans="1:12" ht="15" thickTop="1" x14ac:dyDescent="0.3"/>
    <row r="50" spans="1:12" x14ac:dyDescent="0.3">
      <c r="A50" t="s">
        <v>34</v>
      </c>
    </row>
    <row r="51" spans="1:12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12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12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12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12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12" x14ac:dyDescent="0.3">
      <c r="A56" s="8" t="s">
        <v>40</v>
      </c>
      <c r="B56" s="13">
        <f>+SUM(B51:B55)</f>
        <v>153982</v>
      </c>
      <c r="C56" s="13">
        <f t="shared" ref="C56:D56" si="22">+SUM(C51:C55)</f>
        <v>125481</v>
      </c>
      <c r="D56" s="13">
        <f t="shared" si="22"/>
        <v>105392</v>
      </c>
      <c r="F56" s="7" t="s">
        <v>40</v>
      </c>
      <c r="H56" s="28">
        <f t="shared" ref="H56" si="23">(B56/C56)-1</f>
        <v>0.22713398841258825</v>
      </c>
      <c r="I56" s="28"/>
      <c r="J56" s="28">
        <f t="shared" ref="J56" si="24">(C56/D56)-1</f>
        <v>0.19061219067860935</v>
      </c>
      <c r="L56" s="27" t="s">
        <v>153</v>
      </c>
    </row>
    <row r="57" spans="1:12" x14ac:dyDescent="0.3">
      <c r="A57" t="s">
        <v>51</v>
      </c>
      <c r="B57" s="12"/>
      <c r="C57" s="12"/>
      <c r="D57" s="12"/>
    </row>
    <row r="58" spans="1:12" x14ac:dyDescent="0.3">
      <c r="A58" s="1" t="s">
        <v>37</v>
      </c>
      <c r="B58" s="12"/>
      <c r="C58" s="12"/>
      <c r="D58" s="12"/>
    </row>
    <row r="59" spans="1:12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12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12" x14ac:dyDescent="0.3">
      <c r="A61" s="23" t="s">
        <v>53</v>
      </c>
      <c r="B61" s="22">
        <f>+B59+B60</f>
        <v>148101</v>
      </c>
      <c r="C61" s="22">
        <f t="shared" ref="C61:D61" si="25">+C59+C60</f>
        <v>162431</v>
      </c>
      <c r="D61" s="22">
        <f t="shared" si="25"/>
        <v>153157</v>
      </c>
      <c r="F61" s="7" t="s">
        <v>53</v>
      </c>
      <c r="H61" s="28">
        <f t="shared" ref="H61:H62" si="26">(B61/C61)-1</f>
        <v>-8.8222075835277747E-2</v>
      </c>
      <c r="J61" s="28">
        <f t="shared" ref="J61:J62" si="27">(C61/D61)-1</f>
        <v>6.0552243775994663E-2</v>
      </c>
      <c r="L61" s="27" t="s">
        <v>153</v>
      </c>
    </row>
    <row r="62" spans="1:12" x14ac:dyDescent="0.3">
      <c r="A62" s="8" t="s">
        <v>41</v>
      </c>
      <c r="B62" s="13">
        <f>+B56+B61</f>
        <v>302083</v>
      </c>
      <c r="C62" s="13">
        <f t="shared" ref="C62:D62" si="28">+C56+C61</f>
        <v>287912</v>
      </c>
      <c r="D62" s="13">
        <f t="shared" si="28"/>
        <v>258549</v>
      </c>
      <c r="F62" s="7" t="s">
        <v>41</v>
      </c>
      <c r="H62" s="28">
        <f t="shared" si="26"/>
        <v>4.9219900525160565E-2</v>
      </c>
      <c r="J62" s="28">
        <f t="shared" si="27"/>
        <v>0.11356841449783217</v>
      </c>
      <c r="L62" s="27" t="s">
        <v>153</v>
      </c>
    </row>
    <row r="63" spans="1:12" x14ac:dyDescent="0.3">
      <c r="B63" s="12"/>
      <c r="C63" s="12"/>
      <c r="D63" s="12"/>
    </row>
    <row r="64" spans="1:12" x14ac:dyDescent="0.3">
      <c r="A64" t="s">
        <v>42</v>
      </c>
      <c r="B64" s="12"/>
      <c r="C64" s="12"/>
      <c r="D64" s="12"/>
    </row>
    <row r="65" spans="1:12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12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12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12" x14ac:dyDescent="0.3">
      <c r="A68" s="8" t="s">
        <v>45</v>
      </c>
      <c r="B68" s="13">
        <f>+SUM(B65:B67)</f>
        <v>50672</v>
      </c>
      <c r="C68" s="13">
        <f t="shared" ref="C68:D68" si="29">+SUM(C65:C67)</f>
        <v>63090</v>
      </c>
      <c r="D68" s="13">
        <f t="shared" si="29"/>
        <v>65339</v>
      </c>
      <c r="F68" s="7" t="s">
        <v>45</v>
      </c>
      <c r="H68" s="28">
        <f t="shared" ref="H68:H69" si="30">(B68/C68)-1</f>
        <v>-0.19682992550324929</v>
      </c>
      <c r="J68" s="28">
        <f t="shared" ref="J68:J69" si="31">(C68/D68)-1</f>
        <v>-3.4420483937617652E-2</v>
      </c>
      <c r="L68" s="27" t="s">
        <v>153</v>
      </c>
    </row>
    <row r="69" spans="1:12" ht="15" thickBot="1" x14ac:dyDescent="0.35">
      <c r="A69" s="9" t="s">
        <v>46</v>
      </c>
      <c r="B69" s="14">
        <f>+B68+B62</f>
        <v>352755</v>
      </c>
      <c r="C69" s="14">
        <f t="shared" ref="C69:D69" si="32">+C68+C62</f>
        <v>351002</v>
      </c>
      <c r="D69" s="14">
        <f t="shared" si="32"/>
        <v>323888</v>
      </c>
      <c r="F69" s="7" t="s">
        <v>46</v>
      </c>
      <c r="H69" s="28">
        <f t="shared" si="30"/>
        <v>4.994273536902849E-3</v>
      </c>
      <c r="J69" s="28">
        <f t="shared" si="31"/>
        <v>8.3714123400681739E-2</v>
      </c>
      <c r="L69" s="27" t="s">
        <v>153</v>
      </c>
    </row>
    <row r="70" spans="1:12" ht="15" thickTop="1" x14ac:dyDescent="0.3"/>
    <row r="71" spans="1:12" x14ac:dyDescent="0.3">
      <c r="A71" s="32" t="s">
        <v>55</v>
      </c>
      <c r="B71" s="32"/>
      <c r="C71" s="32"/>
      <c r="D71" s="32"/>
    </row>
    <row r="72" spans="1:12" x14ac:dyDescent="0.3">
      <c r="B72" s="33" t="s">
        <v>23</v>
      </c>
      <c r="C72" s="33"/>
      <c r="D72" s="33"/>
    </row>
    <row r="73" spans="1:12" x14ac:dyDescent="0.3">
      <c r="B73" s="7">
        <f>+B33</f>
        <v>2022</v>
      </c>
      <c r="C73" s="7">
        <f t="shared" ref="C73:D73" si="33">+C33</f>
        <v>2021</v>
      </c>
      <c r="D73" s="7">
        <f t="shared" si="33"/>
        <v>2020</v>
      </c>
    </row>
    <row r="75" spans="1:12" x14ac:dyDescent="0.3">
      <c r="A75" s="7" t="s">
        <v>56</v>
      </c>
      <c r="B75" s="15"/>
      <c r="C75" s="15"/>
      <c r="D75" s="15"/>
    </row>
    <row r="76" spans="1:12" x14ac:dyDescent="0.3">
      <c r="A76" t="s">
        <v>57</v>
      </c>
      <c r="B76" s="12">
        <f>+B22</f>
        <v>99803</v>
      </c>
      <c r="C76" s="12">
        <f t="shared" ref="C76:D76" si="34">+C22</f>
        <v>94680</v>
      </c>
      <c r="D76" s="12">
        <f t="shared" si="34"/>
        <v>57411</v>
      </c>
    </row>
    <row r="77" spans="1:12" x14ac:dyDescent="0.3">
      <c r="A77" s="11" t="s">
        <v>18</v>
      </c>
      <c r="B77" s="15"/>
      <c r="C77" s="15"/>
      <c r="D77" s="15"/>
    </row>
    <row r="78" spans="1:12" x14ac:dyDescent="0.3">
      <c r="A78" s="1" t="s">
        <v>58</v>
      </c>
      <c r="B78" s="12"/>
      <c r="C78" s="12"/>
      <c r="D78" s="12"/>
    </row>
    <row r="79" spans="1:12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12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35">+SUM(C76:C90)</f>
        <v>104038</v>
      </c>
      <c r="D91" s="13">
        <f t="shared" si="35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36">+SUM(C93:C98)</f>
        <v>-14545</v>
      </c>
      <c r="D99" s="13">
        <f t="shared" si="36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37">+SUM(C101:C107)</f>
        <v>-93353</v>
      </c>
      <c r="D108" s="13">
        <f t="shared" si="37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38">+C91+C99+C108</f>
        <v>-3860</v>
      </c>
      <c r="D109" s="13">
        <f t="shared" si="38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14">
    <mergeCell ref="H25:I25"/>
    <mergeCell ref="J25:K25"/>
    <mergeCell ref="L25:M25"/>
    <mergeCell ref="B3:D3"/>
    <mergeCell ref="B32:D32"/>
    <mergeCell ref="B72:D72"/>
    <mergeCell ref="A2:D2"/>
    <mergeCell ref="A31:D31"/>
    <mergeCell ref="A71:D71"/>
    <mergeCell ref="G2:O2"/>
    <mergeCell ref="I3:K3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37" workbookViewId="0">
      <selection activeCell="E55" sqref="E55"/>
    </sheetView>
  </sheetViews>
  <sheetFormatPr defaultRowHeight="14.4" x14ac:dyDescent="0.3"/>
  <cols>
    <col min="1" max="1" width="4.6640625" customWidth="1"/>
    <col min="2" max="2" width="44.88671875" customWidth="1"/>
    <col min="3" max="3" width="10.109375" customWidth="1"/>
    <col min="4" max="4" width="10" customWidth="1"/>
    <col min="5" max="5" width="10.6640625" customWidth="1"/>
    <col min="6" max="6" width="11.664062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33" t="s">
        <v>23</v>
      </c>
      <c r="D2" s="33"/>
      <c r="E2" s="33"/>
    </row>
    <row r="3" spans="1:10" x14ac:dyDescent="0.3">
      <c r="C3" s="21">
        <f>+'Financial Statements'!B4</f>
        <v>2022</v>
      </c>
      <c r="D3" s="21">
        <f>+'Financial Statements'!C4</f>
        <v>2021</v>
      </c>
      <c r="E3" s="21">
        <f>+'Financial Statements'!D4</f>
        <v>2020</v>
      </c>
    </row>
    <row r="4" spans="1:10" x14ac:dyDescent="0.3">
      <c r="A4" s="18">
        <v>1</v>
      </c>
      <c r="B4" s="7" t="s">
        <v>99</v>
      </c>
      <c r="C4" s="24"/>
      <c r="D4" s="24"/>
      <c r="E4" s="24"/>
    </row>
    <row r="5" spans="1:10" x14ac:dyDescent="0.3">
      <c r="A5" s="18">
        <f>+A4+0.1</f>
        <v>1.1000000000000001</v>
      </c>
      <c r="B5" s="1" t="s">
        <v>100</v>
      </c>
      <c r="C5" s="24">
        <f>('Financial Statements'!B42)/('Financial Statements'!B56)</f>
        <v>0.87935602862672257</v>
      </c>
      <c r="D5" s="24">
        <f>('Financial Statements'!C42)/('Financial Statements'!C56)</f>
        <v>1.0745531195957954</v>
      </c>
      <c r="E5" s="24">
        <f>('Financial Statements'!D42)/('Financial Statements'!D56)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4">
        <f>('Financial Statements'!B36+'Financial Statements'!B37)/'Financial Statements'!B56</f>
        <v>0.31369900377966253</v>
      </c>
      <c r="D7" s="24">
        <f>('Financial Statements'!C36+'Financial Statements'!C37)/'Financial Statements'!C56</f>
        <v>0.49919111259872012</v>
      </c>
      <c r="E7" s="24">
        <f>('Financial Statements'!D36+'Financial Statements'!D37)/'Financial Statements'!D56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 s="25">
        <f>('Financial Statements'!B36+'Financial Statements'!B37+'Financial Statements'!B38)/('Financial Statements'!B17/365)</f>
        <v>543.73590417762193</v>
      </c>
      <c r="D8" s="25">
        <f>('Financial Statements'!C36+'Financial Statements'!C37+'Financial Statements'!C38)/('Financial Statements'!C17/365)</f>
        <v>739.50611798482464</v>
      </c>
      <c r="E8" s="25">
        <f>('Financial Statements'!D36+'Financial Statements'!D37+'Financial Statements'!D38)/('Financial Statements'!D17/365)</f>
        <v>1010.6029533464364</v>
      </c>
    </row>
    <row r="9" spans="1:10" x14ac:dyDescent="0.3">
      <c r="A9" s="18">
        <f t="shared" si="0"/>
        <v>1.5000000000000004</v>
      </c>
      <c r="B9" s="1" t="s">
        <v>104</v>
      </c>
      <c r="C9" s="26">
        <f>(AVERAGE('Financial Statements'!B39,'Financial Statements'!C39)/'Financial Statements'!B12)*365</f>
        <v>9.4096740715557434</v>
      </c>
      <c r="D9" s="26">
        <f>(AVERAGE('Financial Statements'!C39,'Financial Statements'!D39)/'Financial Statements'!C12)*365</f>
        <v>9.1181020842234748</v>
      </c>
      <c r="E9" s="26">
        <f>(AVERAGE('Financial Statements'!D39,'Financial Statements'!E39)/'Financial Statements'!D12)*365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26">
        <f>(AVERAGE('Financial Statements'!B51,'Financial Statements'!C51)/'Financial Statements'!B12)*365</f>
        <v>97.050428099809452</v>
      </c>
      <c r="D10" s="26">
        <f>(AVERAGE('Financial Statements'!C51,'Financial Statements'!D51)/'Financial Statements'!C12)*365</f>
        <v>83.168299050150011</v>
      </c>
      <c r="E10" s="26">
        <f>(AVERAGE('Financial Statements'!D51,'Financial Statements'!E51)/'Financial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26">
        <f>(AVERAGE('Financial Statements'!B38,'Financial Statements'!C38)/'Financial Statements'!B8)*365</f>
        <v>25.205704388225033</v>
      </c>
      <c r="D11" s="26">
        <f>(AVERAGE('Financial Statements'!C38,'Financial Statements'!D38)/'Financial Statements'!C8)*365</f>
        <v>21.151655062503931</v>
      </c>
      <c r="E11" s="26">
        <f>(AVERAGE('Financial Statements'!D38,'Financial Statements'!E38)/'Financial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6">
        <f>C9+C11-C10</f>
        <v>-62.435049640028673</v>
      </c>
      <c r="D12" s="26">
        <f t="shared" ref="D12:E12" si="1">D9+D11-D10</f>
        <v>-52.898541903422604</v>
      </c>
      <c r="E12" s="26">
        <f t="shared" si="1"/>
        <v>-60.872869206641568</v>
      </c>
    </row>
    <row r="13" spans="1:10" x14ac:dyDescent="0.3">
      <c r="A13" s="18">
        <f t="shared" si="0"/>
        <v>1.9000000000000008</v>
      </c>
      <c r="B13" s="1" t="s">
        <v>108</v>
      </c>
      <c r="C13" s="26">
        <f>('Financial Statements'!B42-'Financial Statements'!B56)/('Financial Statements'!B8)*100</f>
        <v>-4.7110527276784806</v>
      </c>
      <c r="D13" s="26">
        <f>('Financial Statements'!C42-'Financial Statements'!C56)/('Financial Statements'!C8)*100</f>
        <v>2.5572895737486232</v>
      </c>
      <c r="E13" s="26">
        <f>('Financial Statements'!D42-'Financial Statements'!D56)/('Financial Statements'!D8)*100</f>
        <v>13.959528623208204</v>
      </c>
    </row>
    <row r="14" spans="1:10" x14ac:dyDescent="0.3">
      <c r="A14" s="18"/>
      <c r="B14" s="3" t="s">
        <v>109</v>
      </c>
      <c r="C14" s="27">
        <f>'Financial Statements'!B42-'Financial Statements'!B56</f>
        <v>-18577</v>
      </c>
      <c r="D14" s="27">
        <f>'Financial Statements'!C42-'Financial Statements'!C56</f>
        <v>9355</v>
      </c>
      <c r="E14" s="27">
        <f>'Financial Statements'!D42-'Financial Statements'!D56</f>
        <v>38321</v>
      </c>
    </row>
    <row r="15" spans="1:10" x14ac:dyDescent="0.3">
      <c r="A15" s="18"/>
      <c r="C15" s="29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 s="26">
        <f>('Financial Statements'!B13/'Financial Statements'!B8)*100</f>
        <v>43.309630561360088</v>
      </c>
      <c r="D17" s="26">
        <f>('Financial Statements'!C13/'Financial Statements'!C8)*100</f>
        <v>41.779359625167778</v>
      </c>
      <c r="E17" s="26">
        <f>('Financial Statements'!D13/'Financial Statements'!D8)*100</f>
        <v>38.233247727810863</v>
      </c>
    </row>
    <row r="18" spans="1:5" x14ac:dyDescent="0.3">
      <c r="A18" s="18">
        <f>+A17+0.1</f>
        <v>2.2000000000000002</v>
      </c>
      <c r="B18" s="1" t="s">
        <v>111</v>
      </c>
      <c r="C18" s="30">
        <f>('Financial Statements'!B79+'Financial Statements'!B18)/'Financial Statements'!B8</f>
        <v>0.3310467428130896</v>
      </c>
      <c r="D18" s="30">
        <f>('Financial Statements'!C79+'Financial Statements'!C18)/'Financial Statements'!C8</f>
        <v>0.32866979938056462</v>
      </c>
      <c r="E18" s="30">
        <f>('Financial Statements'!D79+'Financial Statements'!D18)/'Financial Statements'!D8</f>
        <v>0.2817478097736007</v>
      </c>
    </row>
    <row r="19" spans="1:5" x14ac:dyDescent="0.3">
      <c r="A19" s="18"/>
      <c r="B19" s="3" t="s">
        <v>112</v>
      </c>
      <c r="C19" s="27">
        <f>'Financial Statements'!B18+'Financial Statements'!B79</f>
        <v>130541</v>
      </c>
      <c r="D19" s="27">
        <f>'Financial Statements'!C18+'Financial Statements'!C79</f>
        <v>120233</v>
      </c>
      <c r="E19" s="27">
        <f>'Financial Statements'!D18+'Financial Statements'!D79</f>
        <v>77344</v>
      </c>
    </row>
    <row r="20" spans="1:5" x14ac:dyDescent="0.3">
      <c r="A20" s="18">
        <f>+A18+0.1</f>
        <v>2.3000000000000003</v>
      </c>
      <c r="B20" s="1" t="s">
        <v>113</v>
      </c>
      <c r="C20" s="30">
        <f>'Financial Statements'!B18/'Financial Statements'!B8</f>
        <v>0.30288744395528594</v>
      </c>
      <c r="D20" s="30">
        <f>'Financial Statements'!C18/'Financial Statements'!C8</f>
        <v>0.29782377527561593</v>
      </c>
      <c r="E20" s="30">
        <f>'Financial Statements'!D18/'Financial Statements'!D8</f>
        <v>0.24147314354406862</v>
      </c>
    </row>
    <row r="21" spans="1:5" x14ac:dyDescent="0.3">
      <c r="A21" s="18"/>
      <c r="B21" s="3" t="s">
        <v>114</v>
      </c>
      <c r="C21" s="27">
        <f>'Financial Statements'!B18</f>
        <v>119437</v>
      </c>
      <c r="D21" s="27">
        <f>'Financial Statements'!C18</f>
        <v>108949</v>
      </c>
      <c r="E21" s="27">
        <f>'Financial Statements'!D18</f>
        <v>66288</v>
      </c>
    </row>
    <row r="22" spans="1:5" x14ac:dyDescent="0.3">
      <c r="A22" s="18">
        <f>+A20+0.1</f>
        <v>2.4000000000000004</v>
      </c>
      <c r="B22" s="1" t="s">
        <v>115</v>
      </c>
      <c r="C22" s="30">
        <f>'Financial Statements'!B22/'Financial Statements'!B8</f>
        <v>0.25309640705199732</v>
      </c>
      <c r="D22" s="30">
        <f>'Financial Statements'!C22/'Financial Statements'!C8</f>
        <v>0.25881793355694238</v>
      </c>
      <c r="E22" s="30">
        <f>'Financial Statements'!D22/'Financial Statements'!D8</f>
        <v>0.20913611278072236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 s="26">
        <f>('Financial Statements'!B55+'Financial Statements'!B59)/'Financial Statements'!B68</f>
        <v>2.1725410483107042</v>
      </c>
      <c r="D25" s="26">
        <f>('Financial Statements'!C55+'Financial Statements'!C59)/'Financial Statements'!C68</f>
        <v>1.8817403708987162</v>
      </c>
      <c r="E25" s="26">
        <f>('Financial Statements'!D55+'Financial Statements'!D59)/'Financial Statements'!D68</f>
        <v>1.6443471739696047</v>
      </c>
    </row>
    <row r="26" spans="1:5" x14ac:dyDescent="0.3">
      <c r="A26" s="18">
        <f t="shared" ref="A26:A30" si="2">+A25+0.1</f>
        <v>3.2</v>
      </c>
      <c r="B26" s="1" t="s">
        <v>118</v>
      </c>
      <c r="C26" s="26">
        <f>('Financial Statements'!B55+'Financial Statements'!B59)/'Financial Statements'!B48</f>
        <v>0.31207778769967826</v>
      </c>
      <c r="D26" s="26">
        <f>('Financial Statements'!C55+'Financial Statements'!C59)/'Financial Statements'!C48</f>
        <v>0.33822884200090025</v>
      </c>
      <c r="E26" s="26">
        <f>('Financial Statements'!D55+'Financial Statements'!D59)/'Financial Statements'!D48</f>
        <v>0.33171960677765155</v>
      </c>
    </row>
    <row r="27" spans="1:5" x14ac:dyDescent="0.3">
      <c r="A27" s="18">
        <f t="shared" si="2"/>
        <v>3.3000000000000003</v>
      </c>
      <c r="B27" s="1" t="s">
        <v>119</v>
      </c>
      <c r="C27" s="26">
        <f>'Financial Statements'!B59/('Financial Statements'!B59+'Financial Statements'!B68)</f>
        <v>0.66135359651409131</v>
      </c>
      <c r="D27" s="26">
        <f>'Financial Statements'!C59/('Financial Statements'!C59+'Financial Statements'!C68)</f>
        <v>0.63361518269878514</v>
      </c>
      <c r="E27" s="26">
        <f>'Financial Statements'!D59/('Financial Statements'!D59+'Financial Statements'!D68)</f>
        <v>0.60160603880345842</v>
      </c>
    </row>
    <row r="28" spans="1:5" x14ac:dyDescent="0.3">
      <c r="A28" s="18">
        <f t="shared" si="2"/>
        <v>3.4000000000000004</v>
      </c>
      <c r="B28" s="1" t="s">
        <v>120</v>
      </c>
      <c r="C28" s="26">
        <f>'Financial Statements'!B18/'Financial Statements'!B114</f>
        <v>41.68830715532286</v>
      </c>
      <c r="D28" s="26">
        <f>'Financial Statements'!C18/'Financial Statements'!C114</f>
        <v>40.546706363974693</v>
      </c>
      <c r="E28" s="26">
        <f>'Financial Statements'!D18/'Financial Statements'!D114</f>
        <v>22.081279147235175</v>
      </c>
    </row>
    <row r="29" spans="1:5" x14ac:dyDescent="0.3">
      <c r="A29" s="18">
        <f t="shared" si="2"/>
        <v>3.5000000000000004</v>
      </c>
      <c r="B29" s="1" t="s">
        <v>121</v>
      </c>
      <c r="C29" s="26">
        <f>'Financial Statements'!B20/('Financial Statements'!B60+'Financial Statements'!B114)</f>
        <v>2.2901340204203282</v>
      </c>
      <c r="D29" s="26">
        <f>'Financial Statements'!C20/('Financial Statements'!C60+'Financial Statements'!C114)</f>
        <v>1.9497072055988003</v>
      </c>
      <c r="E29" s="26">
        <f>'Financial Statements'!D20/('Financial Statements'!D60+'Financial Statements'!D114)</f>
        <v>1.166962359980519</v>
      </c>
    </row>
    <row r="30" spans="1:5" x14ac:dyDescent="0.3">
      <c r="A30" s="18">
        <f t="shared" si="2"/>
        <v>3.6000000000000005</v>
      </c>
      <c r="B30" s="1" t="s">
        <v>122</v>
      </c>
      <c r="C30" s="26">
        <f>C31/('Financial Statements'!B27/1000)</f>
        <v>6.864840527818175</v>
      </c>
      <c r="D30" s="26">
        <f>D31/('Financial Statements'!C27/1000)</f>
        <v>6.3239494572628958</v>
      </c>
      <c r="E30" s="26">
        <f>E31/('Financial Statements'!D27/1000)</f>
        <v>4.3720308741543326</v>
      </c>
    </row>
    <row r="31" spans="1:5" x14ac:dyDescent="0.3">
      <c r="A31" s="18"/>
      <c r="B31" s="3" t="s">
        <v>123</v>
      </c>
      <c r="C31" s="31">
        <f>'Financial Statements'!B91+'Financial Statements'!B96+'Financial Statements'!B104+'Financial Statements'!B105+'Financial Statements'!B106</f>
        <v>111320</v>
      </c>
      <c r="D31" s="31">
        <f>'Financial Statements'!C91+'Financial Statements'!C96+'Financial Statements'!C104+'Financial Statements'!C105+'Financial Statements'!C106</f>
        <v>105618</v>
      </c>
      <c r="E31" s="31">
        <f>'Financial Statements'!D91+'Financial Statements'!D96+'Financial Statements'!D104+'Financial Statements'!D105+'Financial Statements'!D106</f>
        <v>75864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 s="26">
        <f>'Financial Statements'!B8/'Financial Statements'!B48</f>
        <v>1.1178523337727317</v>
      </c>
      <c r="D34" s="26">
        <f>'Financial Statements'!C8/'Financial Statements'!C48</f>
        <v>1.0422077367080529</v>
      </c>
      <c r="E34" s="26">
        <f>'Financial Statements'!D8/'Financial Statements'!D48</f>
        <v>0.84756150274168851</v>
      </c>
    </row>
    <row r="35" spans="1:5" x14ac:dyDescent="0.3">
      <c r="A35" s="18">
        <f t="shared" ref="A35:A37" si="3">+A34+0.1</f>
        <v>4.1999999999999993</v>
      </c>
      <c r="B35" s="1" t="s">
        <v>126</v>
      </c>
      <c r="C35" s="26">
        <f>'Financial Statements'!B8/'Financial Statements'!B48</f>
        <v>1.1178523337727317</v>
      </c>
      <c r="D35" s="26">
        <f>'Financial Statements'!C8/'Financial Statements'!C48</f>
        <v>1.0422077367080529</v>
      </c>
      <c r="E35" s="26">
        <f>'Financial Statements'!D8/'Financial Statements'!D48</f>
        <v>0.84756150274168851</v>
      </c>
    </row>
    <row r="36" spans="1:5" x14ac:dyDescent="0.3">
      <c r="A36" s="18">
        <f t="shared" si="3"/>
        <v>4.2999999999999989</v>
      </c>
      <c r="B36" s="1" t="s">
        <v>127</v>
      </c>
      <c r="C36" s="26">
        <f>'Financial Statements'!B12/'Financial Statements'!B39</f>
        <v>45.197331176708452</v>
      </c>
      <c r="D36" s="26">
        <f>'Financial Statements'!C12/'Financial Statements'!C39</f>
        <v>32.367933130699086</v>
      </c>
      <c r="E36" s="26">
        <f>'Financial Statements'!D12/'Financial Statements'!D39</f>
        <v>41.753016498399411</v>
      </c>
    </row>
    <row r="37" spans="1:5" x14ac:dyDescent="0.3">
      <c r="A37" s="18">
        <f t="shared" si="3"/>
        <v>4.3999999999999986</v>
      </c>
      <c r="B37" s="1" t="s">
        <v>128</v>
      </c>
      <c r="C37" s="30">
        <f>'Financial Statements'!B22/'Financial Statements'!B48</f>
        <v>0.28292440929256851</v>
      </c>
      <c r="D37" s="30">
        <f>'Financial Statements'!C22/'Financial Statements'!C48</f>
        <v>0.26974205275183616</v>
      </c>
      <c r="E37" s="30">
        <f>'Financial Statements'!D22/'Financial Statements'!D48</f>
        <v>0.1772557180259843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 s="26">
        <f>138.2/'Financial Statements'!B24</f>
        <v>22.471544715447152</v>
      </c>
      <c r="D40" s="26">
        <f>141.5/'Financial Statements'!C24</f>
        <v>24.955908289241624</v>
      </c>
      <c r="E40" s="26">
        <f>115.81/'Financial Statements'!D24</f>
        <v>34.987915407854985</v>
      </c>
    </row>
    <row r="41" spans="1:5" x14ac:dyDescent="0.3">
      <c r="A41" s="18">
        <f t="shared" ref="A41:A44" si="4">+A40+0.1</f>
        <v>5.1999999999999993</v>
      </c>
      <c r="B41" s="3" t="s">
        <v>131</v>
      </c>
      <c r="C41" s="27">
        <f>'Financial Statements'!B24</f>
        <v>6.15</v>
      </c>
      <c r="D41" s="27">
        <f>'Financial Statements'!C24</f>
        <v>5.67</v>
      </c>
      <c r="E41" s="27">
        <f>'Financial Statements'!D24</f>
        <v>3.31</v>
      </c>
    </row>
    <row r="42" spans="1:5" x14ac:dyDescent="0.3">
      <c r="A42" s="18">
        <f t="shared" si="4"/>
        <v>5.2999999999999989</v>
      </c>
      <c r="B42" s="1" t="s">
        <v>132</v>
      </c>
      <c r="C42" s="26">
        <f>138.2/('Financial Statements'!B68/('Financial Statements'!B27/1000))</f>
        <v>44.226517338964314</v>
      </c>
      <c r="D42" s="26">
        <f>141.5/('Financial Statements'!C68/('Financial Statements'!C27/1000))</f>
        <v>37.458075574576007</v>
      </c>
      <c r="E42" s="26">
        <f>115.81/('Financial Statements'!D68/('Financial Statements'!D27/1000))</f>
        <v>30.755733962717517</v>
      </c>
    </row>
    <row r="43" spans="1:5" x14ac:dyDescent="0.3">
      <c r="A43" s="18">
        <f t="shared" si="4"/>
        <v>5.3999999999999986</v>
      </c>
      <c r="B43" s="3" t="s">
        <v>133</v>
      </c>
      <c r="C43" s="26">
        <f>('Financial Statements'!B68/('Financial Statements'!B27/1000))</f>
        <v>3.1248221274308534</v>
      </c>
      <c r="D43" s="26">
        <f>('Financial Statements'!C68/('Financial Statements'!C27/1000))</f>
        <v>3.7775565837141025</v>
      </c>
      <c r="E43" s="26">
        <f>('Financial Statements'!D68/('Financial Statements'!D27/1000))</f>
        <v>3.7654767120949324</v>
      </c>
    </row>
    <row r="44" spans="1:5" x14ac:dyDescent="0.3">
      <c r="A44" s="18">
        <f t="shared" si="4"/>
        <v>5.4999999999999982</v>
      </c>
      <c r="B44" s="1" t="s">
        <v>134</v>
      </c>
      <c r="C44" s="30">
        <f>-('Financial Statements'!B102/'Financial Statements'!B22)</f>
        <v>0.14870294480125848</v>
      </c>
      <c r="D44" s="30">
        <f>-('Financial Statements'!C102/'Financial Statements'!C22)</f>
        <v>0.15279890156316012</v>
      </c>
      <c r="E44" s="30">
        <f>-('Financial Statements'!D102/'Financial Statements'!D22)</f>
        <v>0.24526658654264863</v>
      </c>
    </row>
    <row r="45" spans="1:5" x14ac:dyDescent="0.3">
      <c r="A45" s="18"/>
      <c r="B45" s="3" t="s">
        <v>135</v>
      </c>
      <c r="C45" s="26">
        <f>-('Financial Statements'!B102)/('Financial Statements'!B27/1000)</f>
        <v>0.91520929099307891</v>
      </c>
      <c r="D45" s="26">
        <f>-('Financial Statements'!C102)/('Financial Statements'!C27/1000)</f>
        <v>0.86622144708498849</v>
      </c>
      <c r="E45" s="26">
        <f>-('Financial Statements'!D102)/('Financial Statements'!D27/1000)</f>
        <v>0.81148590555424394</v>
      </c>
    </row>
    <row r="46" spans="1:5" x14ac:dyDescent="0.3">
      <c r="A46" s="18">
        <f>+A44+0.1</f>
        <v>5.5999999999999979</v>
      </c>
      <c r="B46" s="1" t="s">
        <v>136</v>
      </c>
      <c r="C46" s="30">
        <f>C45/138.2</f>
        <v>6.6223537698486181E-3</v>
      </c>
      <c r="D46" s="30">
        <f>D45/141.5</f>
        <v>6.1217063398232401E-3</v>
      </c>
      <c r="E46" s="30">
        <f>E45/115.81</f>
        <v>7.0070452081361185E-3</v>
      </c>
    </row>
    <row r="47" spans="1:5" x14ac:dyDescent="0.3">
      <c r="A47" s="18">
        <f t="shared" ref="A47:A50" si="5">+A45+0.1</f>
        <v>0.1</v>
      </c>
      <c r="B47" s="1" t="s">
        <v>137</v>
      </c>
      <c r="C47" s="26">
        <f>'Financial Statements'!B22/'Financial Statements'!B68</f>
        <v>1.9695887275023682</v>
      </c>
      <c r="D47" s="26">
        <f>'Financial Statements'!C22/'Financial Statements'!C68</f>
        <v>1.5007132667617689</v>
      </c>
      <c r="E47" s="26">
        <f>'Financial Statements'!D22/'Financial Statements'!D68</f>
        <v>0.87866358530127486</v>
      </c>
    </row>
    <row r="48" spans="1:5" x14ac:dyDescent="0.3">
      <c r="A48" s="18">
        <f t="shared" si="5"/>
        <v>5.6999999999999975</v>
      </c>
      <c r="B48" s="1" t="s">
        <v>138</v>
      </c>
      <c r="C48" s="30">
        <f>'Financial Statements'!B18/('Financial Statements'!B48-'Financial Statements'!B56)</f>
        <v>0.60087134570590572</v>
      </c>
      <c r="D48" s="30">
        <f>'Financial Statements'!C18/('Financial Statements'!C48-'Financial Statements'!C56)</f>
        <v>0.48309913489209433</v>
      </c>
      <c r="E48" s="30">
        <f>'Financial Statements'!D18/('Financial Statements'!D48-'Financial Statements'!D56)</f>
        <v>0.30338312829525482</v>
      </c>
    </row>
    <row r="49" spans="1:5" x14ac:dyDescent="0.3">
      <c r="A49" s="18">
        <f t="shared" si="5"/>
        <v>0.2</v>
      </c>
      <c r="B49" s="1" t="s">
        <v>128</v>
      </c>
      <c r="C49" s="30">
        <f>'Financial Statements'!B22/'Financial Statements'!B48</f>
        <v>0.28292440929256851</v>
      </c>
      <c r="D49" s="30">
        <f>'Financial Statements'!C22/'Financial Statements'!C48</f>
        <v>0.26974205275183616</v>
      </c>
      <c r="E49" s="30">
        <f>'Financial Statements'!D22/'Financial Statements'!D48</f>
        <v>0.1772557180259843</v>
      </c>
    </row>
    <row r="50" spans="1:5" x14ac:dyDescent="0.3">
      <c r="A50" s="18">
        <f t="shared" si="5"/>
        <v>5.7999999999999972</v>
      </c>
      <c r="B50" s="1" t="s">
        <v>139</v>
      </c>
      <c r="C50" s="26">
        <f>C51/('Financial Statements'!B18+'Financial Statements'!B79)</f>
        <v>17.829548468297315</v>
      </c>
      <c r="D50" s="26">
        <f>D51/('Financial Statements'!C18+'Financial Statements'!C79)</f>
        <v>20.352224331090465</v>
      </c>
      <c r="E50" s="26">
        <f>E51/('Financial Statements'!D18+'Financial Statements'!D79)</f>
        <v>26.879562750698184</v>
      </c>
    </row>
    <row r="51" spans="1:5" x14ac:dyDescent="0.3">
      <c r="A51" s="18"/>
      <c r="B51" s="3" t="s">
        <v>140</v>
      </c>
      <c r="C51">
        <f>(138.2*('Financial Statements'!B27/1000)+'Financial Statements'!B55+'Financial Statements'!B59-'Financial Statements'!B36)</f>
        <v>2327487.0865999996</v>
      </c>
      <c r="D51">
        <f>(141.5*('Financial Statements'!C27/1000)+'Financial Statements'!C55+'Financial Statements'!C59-'Financial Statements'!C36)</f>
        <v>2447008.9879999999</v>
      </c>
      <c r="E51">
        <f>(115.81*('Financial Statements'!D27/1000)+'Financial Statements'!D55+'Financial Statements'!D59-'Financial Statements'!D36)</f>
        <v>2078972.9013900002</v>
      </c>
    </row>
  </sheetData>
  <mergeCells count="1">
    <mergeCell ref="C2:E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Vivek Khanna</cp:lastModifiedBy>
  <dcterms:created xsi:type="dcterms:W3CDTF">2020-05-18T16:32:37Z</dcterms:created>
  <dcterms:modified xsi:type="dcterms:W3CDTF">2024-08-07T14:44:27Z</dcterms:modified>
</cp:coreProperties>
</file>