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QCP\"/>
    </mc:Choice>
  </mc:AlternateContent>
  <xr:revisionPtr revIDLastSave="0" documentId="13_ncr:1_{EC6242D1-AA17-45F2-A574-C66E916FAA55}" xr6:coauthVersionLast="47" xr6:coauthVersionMax="47" xr10:uidLastSave="{00000000-0000-0000-0000-000000000000}"/>
  <bookViews>
    <workbookView xWindow="-98" yWindow="-98" windowWidth="21795" windowHeight="12975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4" i="4"/>
  <c r="D64" i="4"/>
  <c r="E64" i="4"/>
  <c r="F64" i="4"/>
  <c r="G64" i="4"/>
  <c r="H64" i="4"/>
  <c r="I64" i="4"/>
  <c r="B64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C49" i="4"/>
  <c r="D49" i="4"/>
  <c r="E49" i="4"/>
  <c r="F49" i="4"/>
  <c r="G49" i="4"/>
  <c r="H49" i="4"/>
  <c r="I49" i="4"/>
  <c r="B49" i="4"/>
  <c r="C69" i="4"/>
  <c r="D69" i="4"/>
  <c r="E69" i="4"/>
  <c r="F69" i="4"/>
  <c r="G69" i="4"/>
  <c r="H69" i="4"/>
  <c r="I69" i="4"/>
  <c r="B69" i="4"/>
  <c r="K17" i="4"/>
  <c r="L17" i="4"/>
  <c r="M17" i="4"/>
  <c r="N17" i="4"/>
  <c r="J17" i="4"/>
  <c r="C63" i="4"/>
  <c r="D63" i="4"/>
  <c r="E63" i="4"/>
  <c r="F63" i="4"/>
  <c r="G63" i="4"/>
  <c r="H63" i="4"/>
  <c r="I63" i="4"/>
  <c r="B63" i="4"/>
  <c r="I60" i="4"/>
  <c r="C59" i="4"/>
  <c r="B60" i="4" s="1"/>
  <c r="D59" i="4"/>
  <c r="C60" i="4" s="1"/>
  <c r="E59" i="4"/>
  <c r="D60" i="4" s="1"/>
  <c r="F59" i="4"/>
  <c r="E60" i="4" s="1"/>
  <c r="G59" i="4"/>
  <c r="F60" i="4" s="1"/>
  <c r="H59" i="4"/>
  <c r="G60" i="4" s="1"/>
  <c r="I59" i="4"/>
  <c r="B59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I47" i="4"/>
  <c r="C33" i="4"/>
  <c r="D33" i="4"/>
  <c r="E33" i="4"/>
  <c r="F33" i="4"/>
  <c r="G33" i="4"/>
  <c r="H33" i="4"/>
  <c r="H43" i="4" s="1"/>
  <c r="I33" i="4"/>
  <c r="I43" i="4" s="1"/>
  <c r="C34" i="4"/>
  <c r="D34" i="4"/>
  <c r="E34" i="4"/>
  <c r="E43" i="4" s="1"/>
  <c r="F34" i="4"/>
  <c r="F43" i="4" s="1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8" i="4"/>
  <c r="C43" i="4" s="1"/>
  <c r="D38" i="4"/>
  <c r="E38" i="4"/>
  <c r="F38" i="4"/>
  <c r="G38" i="4"/>
  <c r="G43" i="4" s="1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5" i="4"/>
  <c r="B38" i="4"/>
  <c r="B36" i="4"/>
  <c r="B34" i="4"/>
  <c r="B43" i="4" s="1"/>
  <c r="B33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C26" i="4"/>
  <c r="D26" i="4"/>
  <c r="E26" i="4"/>
  <c r="F26" i="4"/>
  <c r="G26" i="4"/>
  <c r="H26" i="4"/>
  <c r="I26" i="4"/>
  <c r="B26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E18" i="4"/>
  <c r="F18" i="4"/>
  <c r="G18" i="4"/>
  <c r="H18" i="4"/>
  <c r="I18" i="4"/>
  <c r="C18" i="4"/>
  <c r="I19" i="4"/>
  <c r="C15" i="4"/>
  <c r="D15" i="4"/>
  <c r="E15" i="4"/>
  <c r="F15" i="4"/>
  <c r="G15" i="4"/>
  <c r="H15" i="4"/>
  <c r="I15" i="4"/>
  <c r="C16" i="4"/>
  <c r="D16" i="4"/>
  <c r="E16" i="4"/>
  <c r="E19" i="4" s="1"/>
  <c r="F16" i="4"/>
  <c r="F19" i="4" s="1"/>
  <c r="G16" i="4"/>
  <c r="G19" i="4" s="1"/>
  <c r="H16" i="4"/>
  <c r="H19" i="4" s="1"/>
  <c r="I16" i="4"/>
  <c r="C17" i="4"/>
  <c r="C19" i="4" s="1"/>
  <c r="D17" i="4"/>
  <c r="D19" i="4" s="1"/>
  <c r="E17" i="4"/>
  <c r="F17" i="4"/>
  <c r="G17" i="4"/>
  <c r="H17" i="4"/>
  <c r="I17" i="4"/>
  <c r="B17" i="4"/>
  <c r="B19" i="4" s="1"/>
  <c r="B16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5" i="4"/>
  <c r="D5" i="4"/>
  <c r="E5" i="4"/>
  <c r="F5" i="4"/>
  <c r="G5" i="4"/>
  <c r="H5" i="4"/>
  <c r="I5" i="4"/>
  <c r="I6" i="4"/>
  <c r="B5" i="4"/>
  <c r="C3" i="4"/>
  <c r="E18" i="3"/>
  <c r="F18" i="3"/>
  <c r="G18" i="3"/>
  <c r="H18" i="3"/>
  <c r="I18" i="3"/>
  <c r="J17" i="3" s="1"/>
  <c r="B18" i="3"/>
  <c r="C17" i="3"/>
  <c r="C18" i="3" s="1"/>
  <c r="D17" i="3"/>
  <c r="E17" i="3"/>
  <c r="F17" i="3"/>
  <c r="G17" i="3"/>
  <c r="H17" i="3"/>
  <c r="I17" i="3"/>
  <c r="B17" i="3"/>
  <c r="I8" i="3"/>
  <c r="C3" i="3"/>
  <c r="D3" i="3"/>
  <c r="E3" i="3"/>
  <c r="E3" i="4" s="1"/>
  <c r="F3" i="3"/>
  <c r="G3" i="3"/>
  <c r="G3" i="4" s="1"/>
  <c r="H3" i="3"/>
  <c r="I3" i="3"/>
  <c r="B3" i="3"/>
  <c r="D7" i="3"/>
  <c r="C7" i="3"/>
  <c r="I6" i="3"/>
  <c r="J5" i="3" s="1"/>
  <c r="J5" i="4" s="1"/>
  <c r="H6" i="3"/>
  <c r="G6" i="3"/>
  <c r="F6" i="3"/>
  <c r="E6" i="3"/>
  <c r="D6" i="3"/>
  <c r="C6" i="3"/>
  <c r="B6" i="3"/>
  <c r="I186" i="1"/>
  <c r="I189" i="1" s="1"/>
  <c r="I190" i="1" s="1"/>
  <c r="H186" i="1"/>
  <c r="H189" i="1" s="1"/>
  <c r="G186" i="1"/>
  <c r="G189" i="1" s="1"/>
  <c r="F186" i="1"/>
  <c r="F189" i="1" s="1"/>
  <c r="E186" i="1"/>
  <c r="E189" i="1" s="1"/>
  <c r="D186" i="1"/>
  <c r="D189" i="1" s="1"/>
  <c r="C186" i="1"/>
  <c r="C189" i="1" s="1"/>
  <c r="B186" i="1"/>
  <c r="B189" i="1" s="1"/>
  <c r="I174" i="1"/>
  <c r="I176" i="1" s="1"/>
  <c r="I177" i="1" s="1"/>
  <c r="H174" i="1"/>
  <c r="G174" i="1"/>
  <c r="F174" i="1"/>
  <c r="E174" i="1"/>
  <c r="D174" i="1"/>
  <c r="C174" i="1"/>
  <c r="B174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I150" i="1"/>
  <c r="I153" i="1" s="1"/>
  <c r="H150" i="1"/>
  <c r="H153" i="1" s="1"/>
  <c r="G150" i="1"/>
  <c r="G153" i="1" s="1"/>
  <c r="F150" i="1"/>
  <c r="F153" i="1" s="1"/>
  <c r="E150" i="1"/>
  <c r="E153" i="1" s="1"/>
  <c r="D150" i="1"/>
  <c r="D153" i="1" s="1"/>
  <c r="C150" i="1"/>
  <c r="C153" i="1" s="1"/>
  <c r="B150" i="1"/>
  <c r="B153" i="1" s="1"/>
  <c r="I135" i="1"/>
  <c r="H135" i="1"/>
  <c r="G135" i="1"/>
  <c r="F135" i="1"/>
  <c r="I129" i="1"/>
  <c r="H129" i="1"/>
  <c r="G129" i="1"/>
  <c r="F129" i="1"/>
  <c r="E129" i="1"/>
  <c r="D129" i="1"/>
  <c r="C129" i="1"/>
  <c r="B129" i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H134" i="1" s="1"/>
  <c r="H141" i="1" s="1"/>
  <c r="H142" i="1" s="1"/>
  <c r="G113" i="1"/>
  <c r="F113" i="1"/>
  <c r="E113" i="1"/>
  <c r="D113" i="1"/>
  <c r="C113" i="1"/>
  <c r="B113" i="1"/>
  <c r="B134" i="1" s="1"/>
  <c r="B141" i="1" s="1"/>
  <c r="I178" i="1" l="1"/>
  <c r="I14" i="3"/>
  <c r="E190" i="1"/>
  <c r="E8" i="3"/>
  <c r="H7" i="3"/>
  <c r="H4" i="3"/>
  <c r="H4" i="4" s="1"/>
  <c r="H3" i="4"/>
  <c r="H11" i="3"/>
  <c r="D18" i="3"/>
  <c r="D18" i="4"/>
  <c r="H60" i="4"/>
  <c r="B11" i="3"/>
  <c r="C134" i="1"/>
  <c r="C141" i="1" s="1"/>
  <c r="C142" i="1" s="1"/>
  <c r="C11" i="3"/>
  <c r="D134" i="1"/>
  <c r="D141" i="1" s="1"/>
  <c r="D142" i="1" s="1"/>
  <c r="D11" i="3"/>
  <c r="E134" i="1"/>
  <c r="E141" i="1" s="1"/>
  <c r="E142" i="1" s="1"/>
  <c r="E11" i="3"/>
  <c r="B190" i="1"/>
  <c r="B8" i="3"/>
  <c r="F134" i="1"/>
  <c r="F141" i="1" s="1"/>
  <c r="F142" i="1" s="1"/>
  <c r="F11" i="3"/>
  <c r="C190" i="1"/>
  <c r="C8" i="3"/>
  <c r="B10" i="3"/>
  <c r="B3" i="4"/>
  <c r="D43" i="4"/>
  <c r="G134" i="1"/>
  <c r="G141" i="1" s="1"/>
  <c r="G142" i="1" s="1"/>
  <c r="G11" i="3"/>
  <c r="D190" i="1"/>
  <c r="D8" i="3"/>
  <c r="I4" i="3"/>
  <c r="I3" i="4"/>
  <c r="I134" i="1"/>
  <c r="I141" i="1" s="1"/>
  <c r="B142" i="1" s="1"/>
  <c r="F190" i="1"/>
  <c r="F8" i="3"/>
  <c r="G190" i="1"/>
  <c r="G8" i="3"/>
  <c r="F3" i="4"/>
  <c r="F4" i="3"/>
  <c r="F4" i="4" s="1"/>
  <c r="H190" i="1"/>
  <c r="H8" i="3"/>
  <c r="I9" i="3"/>
  <c r="J8" i="3" s="1"/>
  <c r="J6" i="4" s="1"/>
  <c r="D3" i="4"/>
  <c r="D4" i="3"/>
  <c r="D4" i="4" s="1"/>
  <c r="C4" i="3"/>
  <c r="C4" i="4" s="1"/>
  <c r="I11" i="3"/>
  <c r="D9" i="3"/>
  <c r="I7" i="3"/>
  <c r="I10" i="3"/>
  <c r="B7" i="3"/>
  <c r="B4" i="3"/>
  <c r="B4" i="4" s="1"/>
  <c r="J6" i="3"/>
  <c r="K5" i="3" s="1"/>
  <c r="K5" i="4" s="1"/>
  <c r="J9" i="3"/>
  <c r="K8" i="3" s="1"/>
  <c r="K6" i="4" s="1"/>
  <c r="E13" i="3"/>
  <c r="E9" i="4" s="1"/>
  <c r="E7" i="3"/>
  <c r="C9" i="3"/>
  <c r="F10" i="3"/>
  <c r="E4" i="3"/>
  <c r="E4" i="4" s="1"/>
  <c r="F7" i="3"/>
  <c r="I16" i="3"/>
  <c r="G7" i="3"/>
  <c r="G4" i="3"/>
  <c r="G4" i="4" s="1"/>
  <c r="F9" i="3"/>
  <c r="H177" i="1"/>
  <c r="B176" i="1"/>
  <c r="B177" i="1" s="1"/>
  <c r="C176" i="1"/>
  <c r="C177" i="1" s="1"/>
  <c r="D176" i="1"/>
  <c r="D177" i="1" s="1"/>
  <c r="E176" i="1"/>
  <c r="E177" i="1" s="1"/>
  <c r="F176" i="1"/>
  <c r="F177" i="1" s="1"/>
  <c r="G176" i="1"/>
  <c r="G177" i="1" s="1"/>
  <c r="H176" i="1"/>
  <c r="E178" i="1" l="1"/>
  <c r="E14" i="3"/>
  <c r="C178" i="1"/>
  <c r="C14" i="3"/>
  <c r="G46" i="4"/>
  <c r="G7" i="4"/>
  <c r="B46" i="4"/>
  <c r="B12" i="3"/>
  <c r="B8" i="4" s="1"/>
  <c r="B7" i="4"/>
  <c r="D178" i="1"/>
  <c r="D14" i="3"/>
  <c r="I46" i="4"/>
  <c r="I12" i="3"/>
  <c r="I7" i="4"/>
  <c r="B178" i="1"/>
  <c r="B14" i="3"/>
  <c r="H178" i="1"/>
  <c r="H14" i="3"/>
  <c r="C47" i="4"/>
  <c r="C6" i="4"/>
  <c r="C10" i="3"/>
  <c r="H9" i="3"/>
  <c r="H47" i="4"/>
  <c r="H6" i="4"/>
  <c r="F7" i="4"/>
  <c r="F12" i="3"/>
  <c r="F8" i="4" s="1"/>
  <c r="F46" i="4"/>
  <c r="I13" i="3"/>
  <c r="I9" i="4" s="1"/>
  <c r="H10" i="3"/>
  <c r="G9" i="3"/>
  <c r="G47" i="4"/>
  <c r="G10" i="3"/>
  <c r="G6" i="4"/>
  <c r="B9" i="3"/>
  <c r="B6" i="4"/>
  <c r="B47" i="4"/>
  <c r="F47" i="4"/>
  <c r="F6" i="4"/>
  <c r="E7" i="4"/>
  <c r="E46" i="4"/>
  <c r="H12" i="3"/>
  <c r="H8" i="4" s="1"/>
  <c r="H46" i="4"/>
  <c r="H7" i="4"/>
  <c r="B13" i="3"/>
  <c r="B9" i="4" s="1"/>
  <c r="H13" i="3"/>
  <c r="H9" i="4" s="1"/>
  <c r="E12" i="3"/>
  <c r="E8" i="4" s="1"/>
  <c r="D7" i="4"/>
  <c r="D46" i="4"/>
  <c r="F13" i="3"/>
  <c r="F9" i="4" s="1"/>
  <c r="E10" i="3"/>
  <c r="E47" i="4"/>
  <c r="E6" i="4"/>
  <c r="E9" i="3"/>
  <c r="G12" i="3"/>
  <c r="G8" i="4" s="1"/>
  <c r="D13" i="3"/>
  <c r="D9" i="4" s="1"/>
  <c r="J3" i="3"/>
  <c r="I4" i="4"/>
  <c r="C12" i="3"/>
  <c r="C8" i="4" s="1"/>
  <c r="C7" i="4"/>
  <c r="C13" i="3"/>
  <c r="C9" i="4" s="1"/>
  <c r="C46" i="4"/>
  <c r="G178" i="1"/>
  <c r="G14" i="3"/>
  <c r="G13" i="3"/>
  <c r="G9" i="4" s="1"/>
  <c r="D47" i="4"/>
  <c r="D6" i="4"/>
  <c r="D10" i="3"/>
  <c r="F178" i="1"/>
  <c r="F14" i="3"/>
  <c r="D12" i="3"/>
  <c r="D8" i="4" s="1"/>
  <c r="K9" i="3"/>
  <c r="L8" i="3" s="1"/>
  <c r="L6" i="4" s="1"/>
  <c r="K6" i="3"/>
  <c r="L5" i="3" s="1"/>
  <c r="L5" i="4" s="1"/>
  <c r="G15" i="3" l="1"/>
  <c r="G16" i="3"/>
  <c r="H15" i="3"/>
  <c r="H16" i="3"/>
  <c r="B15" i="3"/>
  <c r="B16" i="3"/>
  <c r="J11" i="3"/>
  <c r="I8" i="4"/>
  <c r="J4" i="3"/>
  <c r="J3" i="4"/>
  <c r="J7" i="3"/>
  <c r="J10" i="3"/>
  <c r="D16" i="3"/>
  <c r="D15" i="3"/>
  <c r="F16" i="3"/>
  <c r="F15" i="3"/>
  <c r="C16" i="3"/>
  <c r="C15" i="3"/>
  <c r="I15" i="3"/>
  <c r="J14" i="3" s="1"/>
  <c r="E16" i="3"/>
  <c r="E15" i="3"/>
  <c r="L6" i="3"/>
  <c r="M5" i="3" s="1"/>
  <c r="M5" i="4" s="1"/>
  <c r="L9" i="3"/>
  <c r="M8" i="3" s="1"/>
  <c r="M6" i="4" s="1"/>
  <c r="J15" i="3" l="1"/>
  <c r="K14" i="3" s="1"/>
  <c r="J16" i="3"/>
  <c r="K3" i="3"/>
  <c r="J4" i="4"/>
  <c r="J7" i="4"/>
  <c r="J13" i="3"/>
  <c r="J9" i="4" s="1"/>
  <c r="J12" i="3"/>
  <c r="M9" i="3"/>
  <c r="N8" i="3" s="1"/>
  <c r="N6" i="4" s="1"/>
  <c r="M6" i="3"/>
  <c r="N5" i="3" s="1"/>
  <c r="N5" i="4" s="1"/>
  <c r="K11" i="3" l="1"/>
  <c r="J8" i="4"/>
  <c r="K4" i="3"/>
  <c r="K3" i="4"/>
  <c r="K10" i="3"/>
  <c r="K7" i="3"/>
  <c r="K15" i="3"/>
  <c r="L14" i="3" s="1"/>
  <c r="K16" i="3"/>
  <c r="N9" i="3"/>
  <c r="N6" i="3"/>
  <c r="L15" i="3" l="1"/>
  <c r="M14" i="3" s="1"/>
  <c r="L3" i="3"/>
  <c r="K4" i="4"/>
  <c r="K7" i="4"/>
  <c r="K13" i="3"/>
  <c r="K9" i="4" s="1"/>
  <c r="K12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11" i="3" l="1"/>
  <c r="K8" i="4"/>
  <c r="L4" i="3"/>
  <c r="L3" i="4"/>
  <c r="L7" i="3"/>
  <c r="L10" i="3"/>
  <c r="M15" i="3"/>
  <c r="N14" i="3" s="1"/>
  <c r="L16" i="3"/>
  <c r="K19" i="3"/>
  <c r="J19" i="3"/>
  <c r="J18" i="3"/>
  <c r="K17" i="3" s="1"/>
  <c r="K18" i="3" s="1"/>
  <c r="L17" i="3" s="1"/>
  <c r="L19" i="3" s="1"/>
  <c r="I19" i="3"/>
  <c r="H19" i="3"/>
  <c r="G19" i="3"/>
  <c r="F19" i="3"/>
  <c r="E19" i="3"/>
  <c r="D19" i="3"/>
  <c r="C19" i="3"/>
  <c r="B19" i="3"/>
  <c r="N15" i="3" l="1"/>
  <c r="M3" i="3"/>
  <c r="L4" i="4"/>
  <c r="L7" i="4"/>
  <c r="L12" i="3"/>
  <c r="L13" i="3"/>
  <c r="L9" i="4" s="1"/>
  <c r="L18" i="3"/>
  <c r="M17" i="3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1" i="3" l="1"/>
  <c r="L8" i="4"/>
  <c r="M4" i="3"/>
  <c r="M3" i="4"/>
  <c r="M10" i="3"/>
  <c r="M7" i="3"/>
  <c r="M16" i="3"/>
  <c r="M19" i="3"/>
  <c r="M18" i="3"/>
  <c r="N17" i="3" s="1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3" i="3" l="1"/>
  <c r="M4" i="4"/>
  <c r="M7" i="4"/>
  <c r="M13" i="3"/>
  <c r="M9" i="4" s="1"/>
  <c r="M12" i="3"/>
  <c r="N18" i="3"/>
  <c r="N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N11" i="3" l="1"/>
  <c r="M8" i="4"/>
  <c r="N4" i="3"/>
  <c r="N4" i="4" s="1"/>
  <c r="N3" i="4"/>
  <c r="N10" i="3"/>
  <c r="N7" i="3"/>
  <c r="N16" i="3"/>
  <c r="I36" i="3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H21" i="3"/>
  <c r="H37" i="3" s="1"/>
  <c r="G21" i="3"/>
  <c r="F21" i="3"/>
  <c r="E21" i="3"/>
  <c r="E37" i="3" s="1"/>
  <c r="D21" i="3"/>
  <c r="D37" i="3" s="1"/>
  <c r="C21" i="3"/>
  <c r="C37" i="3" s="1"/>
  <c r="B21" i="3"/>
  <c r="I21" i="3"/>
  <c r="I50" i="3" s="1"/>
  <c r="J50" i="3" s="1"/>
  <c r="J48" i="3" s="1"/>
  <c r="J38" i="3" s="1"/>
  <c r="N7" i="4" l="1"/>
  <c r="N12" i="3"/>
  <c r="N8" i="4" s="1"/>
  <c r="N13" i="3"/>
  <c r="N9" i="4" s="1"/>
  <c r="H50" i="3"/>
  <c r="H44" i="3"/>
  <c r="H22" i="3"/>
  <c r="H47" i="3"/>
  <c r="H40" i="3"/>
  <c r="F50" i="3"/>
  <c r="F47" i="3"/>
  <c r="F40" i="3"/>
  <c r="F22" i="3"/>
  <c r="F44" i="3"/>
  <c r="F37" i="3"/>
  <c r="B22" i="3"/>
  <c r="B44" i="3"/>
  <c r="B47" i="3"/>
  <c r="B50" i="3"/>
  <c r="B40" i="3"/>
  <c r="G44" i="3"/>
  <c r="G50" i="3"/>
  <c r="G47" i="3"/>
  <c r="G40" i="3"/>
  <c r="G22" i="3"/>
  <c r="N41" i="3"/>
  <c r="J49" i="3"/>
  <c r="K50" i="3"/>
  <c r="C50" i="3"/>
  <c r="C22" i="3"/>
  <c r="C44" i="3"/>
  <c r="C47" i="3"/>
  <c r="C40" i="3"/>
  <c r="D40" i="3"/>
  <c r="D22" i="3"/>
  <c r="D50" i="3"/>
  <c r="D44" i="3"/>
  <c r="D4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N31" i="3" l="1"/>
  <c r="L50" i="3"/>
  <c r="K49" i="3"/>
  <c r="K48" i="3"/>
  <c r="K38" i="3" s="1"/>
  <c r="K47" i="3"/>
  <c r="J45" i="3"/>
  <c r="J46" i="3" s="1"/>
  <c r="K37" i="3"/>
  <c r="J35" i="3"/>
  <c r="L22" i="3"/>
  <c r="N27" i="3"/>
  <c r="M21" i="3"/>
  <c r="H98" i="1"/>
  <c r="G98" i="1"/>
  <c r="F98" i="1"/>
  <c r="E98" i="1"/>
  <c r="D98" i="1"/>
  <c r="C98" i="1"/>
  <c r="B98" i="1"/>
  <c r="I98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C60" i="1" s="1"/>
  <c r="B46" i="1"/>
  <c r="B60" i="1" s="1"/>
  <c r="I46" i="1"/>
  <c r="H31" i="1"/>
  <c r="H37" i="1" s="1"/>
  <c r="H23" i="4" s="1"/>
  <c r="G31" i="1"/>
  <c r="G37" i="1" s="1"/>
  <c r="G23" i="4" s="1"/>
  <c r="F31" i="1"/>
  <c r="F37" i="1" s="1"/>
  <c r="F23" i="4" s="1"/>
  <c r="E31" i="1"/>
  <c r="E37" i="1" s="1"/>
  <c r="E23" i="4" s="1"/>
  <c r="D31" i="1"/>
  <c r="D37" i="1" s="1"/>
  <c r="D23" i="4" s="1"/>
  <c r="C31" i="1"/>
  <c r="C37" i="1" s="1"/>
  <c r="C23" i="4" s="1"/>
  <c r="B31" i="1"/>
  <c r="B37" i="1" s="1"/>
  <c r="B23" i="4" s="1"/>
  <c r="I31" i="1"/>
  <c r="I37" i="1" s="1"/>
  <c r="I23" i="4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C4" i="1"/>
  <c r="C10" i="1" s="1"/>
  <c r="B4" i="1"/>
  <c r="B10" i="1" s="1"/>
  <c r="I4" i="1"/>
  <c r="I24" i="4" l="1"/>
  <c r="I31" i="4"/>
  <c r="I44" i="4" s="1"/>
  <c r="G24" i="4"/>
  <c r="G31" i="4"/>
  <c r="G44" i="4" s="1"/>
  <c r="B11" i="4"/>
  <c r="B13" i="4" s="1"/>
  <c r="B154" i="1"/>
  <c r="B24" i="4"/>
  <c r="B31" i="4"/>
  <c r="B44" i="4" s="1"/>
  <c r="E24" i="4"/>
  <c r="E31" i="4"/>
  <c r="E44" i="4" s="1"/>
  <c r="E11" i="4"/>
  <c r="E13" i="4" s="1"/>
  <c r="E154" i="1"/>
  <c r="C24" i="4"/>
  <c r="C31" i="4"/>
  <c r="C44" i="4" s="1"/>
  <c r="D24" i="4"/>
  <c r="D31" i="4"/>
  <c r="D44" i="4" s="1"/>
  <c r="F24" i="4"/>
  <c r="F31" i="4"/>
  <c r="F44" i="4" s="1"/>
  <c r="H24" i="4"/>
  <c r="H31" i="4"/>
  <c r="H44" i="4" s="1"/>
  <c r="C11" i="4"/>
  <c r="C13" i="4" s="1"/>
  <c r="C154" i="1"/>
  <c r="F10" i="1"/>
  <c r="E60" i="1"/>
  <c r="G60" i="1"/>
  <c r="H60" i="1"/>
  <c r="D60" i="1"/>
  <c r="D10" i="1"/>
  <c r="H10" i="1"/>
  <c r="F60" i="1"/>
  <c r="F61" i="1" s="1"/>
  <c r="I10" i="1"/>
  <c r="L47" i="3"/>
  <c r="K45" i="3"/>
  <c r="K46" i="3" s="1"/>
  <c r="N21" i="3"/>
  <c r="N22" i="3" s="1"/>
  <c r="L49" i="3"/>
  <c r="M50" i="3"/>
  <c r="M48" i="3" s="1"/>
  <c r="M38" i="3" s="1"/>
  <c r="L48" i="3"/>
  <c r="L38" i="3" s="1"/>
  <c r="J36" i="3"/>
  <c r="J42" i="3"/>
  <c r="L37" i="3"/>
  <c r="K35" i="3"/>
  <c r="K36" i="3" s="1"/>
  <c r="M22" i="3"/>
  <c r="E12" i="1"/>
  <c r="B12" i="1"/>
  <c r="C12" i="1"/>
  <c r="E100" i="1"/>
  <c r="E102" i="1" s="1"/>
  <c r="E103" i="1" s="1"/>
  <c r="D100" i="1"/>
  <c r="D102" i="1" s="1"/>
  <c r="D103" i="1" s="1"/>
  <c r="C100" i="1"/>
  <c r="C102" i="1" s="1"/>
  <c r="C103" i="1" s="1"/>
  <c r="B100" i="1"/>
  <c r="B102" i="1" s="1"/>
  <c r="B103" i="1" s="1"/>
  <c r="F100" i="1"/>
  <c r="F102" i="1" s="1"/>
  <c r="F103" i="1" s="1"/>
  <c r="G100" i="1"/>
  <c r="G102" i="1" s="1"/>
  <c r="G103" i="1" s="1"/>
  <c r="B61" i="1"/>
  <c r="E61" i="1"/>
  <c r="G10" i="1"/>
  <c r="I60" i="1"/>
  <c r="I61" i="1" s="1"/>
  <c r="G61" i="1"/>
  <c r="H61" i="1"/>
  <c r="C61" i="1"/>
  <c r="D61" i="1"/>
  <c r="H11" i="4" l="1"/>
  <c r="H13" i="4" s="1"/>
  <c r="H154" i="1"/>
  <c r="G11" i="4"/>
  <c r="G13" i="4" s="1"/>
  <c r="G154" i="1"/>
  <c r="O3" i="3"/>
  <c r="E20" i="1"/>
  <c r="E14" i="4"/>
  <c r="I11" i="4"/>
  <c r="I13" i="4" s="1"/>
  <c r="I154" i="1"/>
  <c r="D11" i="4"/>
  <c r="D13" i="4" s="1"/>
  <c r="D154" i="1"/>
  <c r="C20" i="1"/>
  <c r="C14" i="4"/>
  <c r="B20" i="1"/>
  <c r="B14" i="4"/>
  <c r="H12" i="1"/>
  <c r="F11" i="4"/>
  <c r="F13" i="4" s="1"/>
  <c r="F154" i="1"/>
  <c r="F12" i="1"/>
  <c r="D12" i="1"/>
  <c r="H65" i="1"/>
  <c r="H77" i="1" s="1"/>
  <c r="H100" i="1" s="1"/>
  <c r="H102" i="1" s="1"/>
  <c r="I101" i="1" s="1"/>
  <c r="I12" i="1"/>
  <c r="K42" i="3"/>
  <c r="K43" i="3" s="1"/>
  <c r="M49" i="3"/>
  <c r="N50" i="3"/>
  <c r="N49" i="3" s="1"/>
  <c r="J43" i="3"/>
  <c r="J44" i="3"/>
  <c r="M47" i="3"/>
  <c r="L45" i="3"/>
  <c r="L46" i="3" s="1"/>
  <c r="M37" i="3"/>
  <c r="L35" i="3"/>
  <c r="L36" i="3" s="1"/>
  <c r="G12" i="1"/>
  <c r="I20" i="1" l="1"/>
  <c r="I14" i="4"/>
  <c r="D20" i="1"/>
  <c r="D14" i="4"/>
  <c r="H20" i="1"/>
  <c r="H14" i="4"/>
  <c r="F20" i="1"/>
  <c r="F14" i="4"/>
  <c r="G20" i="1"/>
  <c r="G14" i="4"/>
  <c r="H103" i="1"/>
  <c r="N48" i="3"/>
  <c r="I65" i="1"/>
  <c r="I77" i="1" s="1"/>
  <c r="I100" i="1" s="1"/>
  <c r="I102" i="1" s="1"/>
  <c r="I103" i="1" s="1"/>
  <c r="K44" i="3"/>
  <c r="L42" i="3"/>
  <c r="N47" i="3"/>
  <c r="M45" i="3"/>
  <c r="M46" i="3" s="1"/>
  <c r="N37" i="3"/>
  <c r="N35" i="3" s="1"/>
  <c r="O5" i="3" s="1"/>
  <c r="M35" i="3"/>
  <c r="H1" i="1"/>
  <c r="G1" i="1" s="1"/>
  <c r="F1" i="1" s="1"/>
  <c r="E1" i="1" s="1"/>
  <c r="D1" i="1" s="1"/>
  <c r="C1" i="1" s="1"/>
  <c r="B1" i="1" s="1"/>
  <c r="N38" i="3" l="1"/>
  <c r="O8" i="3" s="1"/>
  <c r="O17" i="3"/>
  <c r="N42" i="3"/>
  <c r="L44" i="3"/>
  <c r="L43" i="3"/>
  <c r="M36" i="3"/>
  <c r="M42" i="3"/>
  <c r="N45" i="3"/>
  <c r="N36" i="3"/>
  <c r="N46" i="3" l="1"/>
  <c r="O14" i="3"/>
  <c r="N44" i="3"/>
  <c r="O11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6" authorId="0" shapeId="0" xr:uid="{6A1D173A-1C0D-4595-8A5F-2BE6B2ED4AB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<sst xmlns="http://schemas.openxmlformats.org/spreadsheetml/2006/main" count="342" uniqueCount="201">
  <si>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</si>
  <si>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</si>
  <si>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</si>
  <si>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</si>
  <si>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</si>
  <si>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</si>
  <si>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</si>
  <si>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</si>
  <si>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</si>
  <si>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</si>
  <si>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</si>
  <si>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</si>
  <si>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</si>
  <si>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</si>
  <si>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</si>
  <si>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</si>
  <si>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</si>
  <si>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</si>
  <si>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</si>
  <si>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</si>
  <si>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</si>
  <si>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</si>
  <si>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</si>
  <si>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</si>
  <si>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</si>
  <si>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</si>
  <si>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</si>
  <si>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</si>
  <si>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</si>
  <si>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</si>
  <si>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</si>
  <si>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</si>
  <si>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</si>
  <si>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</si>
  <si>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</si>
  <si>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</si>
  <si>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</si>
  <si>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</si>
  <si>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</si>
  <si>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</si>
  <si>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</si>
  <si>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</si>
  <si>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</si>
  <si>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</si>
  <si>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</si>
  <si>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</si>
  <si>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</si>
  <si>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</si>
  <si>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</si>
  <si>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</si>
  <si>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</si>
  <si>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</si>
  <si>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</si>
  <si>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</si>
  <si>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</si>
  <si>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</si>
  <si>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</si>
  <si>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</si>
  <si>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</si>
  <si>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</si>
  <si>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</si>
  <si>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</si>
  <si>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</si>
  <si>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</si>
  <si>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</si>
  <si>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</si>
  <si>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</si>
  <si>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</si>
  <si>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</si>
  <si>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</si>
  <si>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</si>
  <si>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</si>
  <si>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</si>
  <si>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</si>
  <si>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</si>
  <si>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</si>
  <si>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</si>
  <si>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</si>
  <si>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</si>
  <si>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</si>
  <si>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</si>
  <si>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</si>
  <si>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</si>
  <si>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</si>
  <si>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</si>
  <si>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</si>
  <si>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</si>
  <si>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</si>
  <si>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</si>
  <si>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</si>
  <si>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</si>
  <si>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</si>
  <si>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</si>
  <si>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</si>
  <si>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</si>
  <si>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</si>
  <si>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</si>
  <si>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</si>
  <si>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</si>
  <si>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</si>
  <si>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</si>
  <si>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</si>
  <si>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</si>
  <si>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</si>
  <si>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</si>
  <si>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</si>
  <si>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</si>
  <si>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</si>
  <si>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</si>
  <si>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</si>
  <si>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</si>
  <si>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</si>
  <si>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</si>
  <si>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</si>
  <si>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</si>
  <si>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</si>
  <si>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</si>
  <si>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</si>
  <si>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</si>
  <si>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</si>
  <si>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</si>
  <si>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</si>
  <si>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</si>
  <si>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</si>
  <si>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</si>
  <si>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</si>
  <si>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</si>
  <si>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</si>
  <si>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</si>
  <si>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</si>
  <si>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</si>
  <si>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</si>
  <si>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</si>
  <si>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</si>
  <si>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</si>
  <si>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</si>
  <si>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</si>
  <si>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</si>
  <si>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</si>
  <si>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</si>
  <si>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</si>
  <si>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</si>
  <si>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</si>
  <si>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</si>
  <si>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</si>
  <si>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</si>
  <si>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</si>
  <si>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</si>
  <si>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</si>
  <si>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</si>
  <si>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</si>
  <si>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</si>
  <si>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</si>
  <si>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</si>
  <si>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</si>
  <si>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</si>
  <si>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</si>
  <si>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</si>
  <si>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</si>
  <si>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</si>
  <si>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</si>
  <si>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</si>
  <si>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</si>
  <si>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</si>
  <si>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</si>
  <si>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</si>
  <si>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</si>
  <si>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</si>
  <si>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</si>
  <si>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</si>
  <si>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</si>
  <si>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</si>
  <si>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</si>
  <si>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</si>
  <si>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</si>
  <si>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</si>
  <si>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</si>
  <si>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</si>
  <si>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</si>
  <si>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</si>
  <si>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</si>
  <si>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</si>
  <si>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</si>
  <si>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</si>
  <si>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</si>
  <si>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</si>
  <si>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</si>
  <si>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</si>
  <si>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</si>
  <si>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</si>
  <si>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</si>
  <si>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</si>
  <si>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</si>
  <si>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</si>
  <si>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Disposals of property, plant and equipment</t>
  </si>
  <si>
    <t>Investments in reverse repurchase agreements</t>
  </si>
  <si>
    <t>Long-term debt payments, including current portion</t>
  </si>
  <si>
    <t>Payments on capital lease obligations</t>
  </si>
  <si>
    <t>Excess tax benefits from share-based payment arrangements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</si>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</sst>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0" fillId="0" borderId="0" xfId="0" applyAlignment="1">
      <alignment horizontal="left" wrapText="1" indent="2"/>
    </xf>
    <xf numFmtId="166" fontId="12" fillId="0" borderId="0" xfId="2" applyNumberFormat="1" applyFont="1" applyBorder="1"/>
    <xf numFmtId="2" fontId="2" fillId="0" borderId="0" xfId="0" applyNumberFormat="1" applyFont="1"/>
    <xf numFmtId="2" fontId="0" fillId="0" borderId="0" xfId="0" applyNumberFormat="1"/>
    <xf numFmtId="164" fontId="2" fillId="0" borderId="0" xfId="1" applyFont="1"/>
    <xf numFmtId="9" fontId="0" fillId="0" borderId="0" xfId="2" applyFont="1"/>
    <xf numFmtId="164" fontId="5" fillId="0" borderId="0" xfId="1" applyFont="1" applyBorder="1"/>
    <xf numFmtId="10" fontId="0" fillId="0" borderId="0" xfId="2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s="38" t="s">
        <v>192</v>
      </c>
    </row>
    <row r="3" spans="1:1" x14ac:dyDescent="0.45">
      <c r="A3" s="38" t="s">
        <v>191</v>
      </c>
    </row>
    <row r="4" spans="1:1" x14ac:dyDescent="0.45">
      <c r="A4" s="19" t="s">
        <v>193</v>
      </c>
    </row>
    <row r="5" spans="1:1" x14ac:dyDescent="0.45">
      <c r="A5" s="38"/>
    </row>
    <row r="6" spans="1:1" x14ac:dyDescent="0.45">
      <c r="A6" s="38"/>
    </row>
    <row r="9" spans="1:1" x14ac:dyDescent="0.45">
      <c r="A9" s="20"/>
    </row>
    <row r="10" spans="1:1" x14ac:dyDescent="0.45">
      <c r="A10" s="20"/>
    </row>
    <row r="11" spans="1:1" x14ac:dyDescent="0.4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2"/>
  <sheetViews>
    <sheetView workbookViewId="0">
      <pane ySplit="1" topLeftCell="A81" activePane="bottomLeft" state="frozen"/>
      <selection pane="bottomLeft" activeCell="F34" sqref="F34"/>
    </sheetView>
  </sheetViews>
  <sheetFormatPr defaultRowHeight="14.25" x14ac:dyDescent="0.45"/>
  <cols>
    <col min="1" max="1" width="82.6640625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45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67</v>
      </c>
      <c r="B29" s="3">
        <v>389</v>
      </c>
      <c r="C29" s="3">
        <v>1489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45">
      <c r="A30" s="11" t="s">
        <v>36</v>
      </c>
      <c r="B30" s="3">
        <v>1968</v>
      </c>
      <c r="C30" s="3">
        <v>0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45">
      <c r="A31" s="4" t="s">
        <v>10</v>
      </c>
      <c r="B31" s="5">
        <f t="shared" ref="B31:I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 t="shared" si="6"/>
        <v>28213</v>
      </c>
    </row>
    <row r="32" spans="1:9" x14ac:dyDescent="0.45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45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45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45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45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4.65" thickBot="1" x14ac:dyDescent="0.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4.65" thickTop="1" x14ac:dyDescent="0.4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45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45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45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45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45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45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4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45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45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45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4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45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9" x14ac:dyDescent="0.4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45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4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45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45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45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4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4.65" thickBot="1" x14ac:dyDescent="0.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4.65" thickTop="1" x14ac:dyDescent="0.4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4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45">
      <c r="A63" t="s">
        <v>15</v>
      </c>
    </row>
    <row r="64" spans="1:9" x14ac:dyDescent="0.45">
      <c r="A64" s="1" t="s">
        <v>63</v>
      </c>
    </row>
    <row r="65" spans="1:9" s="1" customFormat="1" x14ac:dyDescent="0.45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4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45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45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45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45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45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4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45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45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ht="28.5" x14ac:dyDescent="0.45">
      <c r="A75" s="62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ht="28.5" x14ac:dyDescent="0.45">
      <c r="A76" s="62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45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4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45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45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45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45">
      <c r="A82" s="2" t="s">
        <v>195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4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45">
      <c r="A84" s="2" t="s">
        <v>194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31</v>
      </c>
      <c r="H84" s="3"/>
      <c r="I84" s="3"/>
    </row>
    <row r="85" spans="1:9" x14ac:dyDescent="0.45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0</v>
      </c>
      <c r="H85" s="3">
        <v>171</v>
      </c>
      <c r="I85" s="3">
        <v>-19</v>
      </c>
    </row>
    <row r="86" spans="1:9" x14ac:dyDescent="0.4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4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4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45">
      <c r="A89" s="2" t="s">
        <v>196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0</v>
      </c>
      <c r="H89" s="3"/>
      <c r="I89" s="3"/>
    </row>
    <row r="90" spans="1:9" x14ac:dyDescent="0.4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45">
      <c r="A91" s="2" t="s">
        <v>197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4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x14ac:dyDescent="0.4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45">
      <c r="A94" s="2" t="s">
        <v>198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/>
      <c r="I94" s="3"/>
    </row>
    <row r="95" spans="1:9" x14ac:dyDescent="0.4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4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45">
      <c r="A97" s="2" t="s">
        <v>87</v>
      </c>
      <c r="B97" s="3">
        <v>0</v>
      </c>
      <c r="C97" s="3">
        <v>0</v>
      </c>
      <c r="D97" s="3">
        <v>0</v>
      </c>
      <c r="E97" s="3">
        <v>-55</v>
      </c>
      <c r="F97" s="3">
        <v>-17</v>
      </c>
      <c r="G97" s="3">
        <v>-58</v>
      </c>
      <c r="H97" s="3">
        <v>-136</v>
      </c>
      <c r="I97" s="3">
        <v>-151</v>
      </c>
    </row>
    <row r="98" spans="1:9" x14ac:dyDescent="0.45">
      <c r="A98" s="27" t="s">
        <v>88</v>
      </c>
      <c r="B98" s="26">
        <f t="shared" ref="B98:H98" si="14">+SUM(B88:B97)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+SUM(I88:I97)</f>
        <v>-4836</v>
      </c>
    </row>
    <row r="99" spans="1:9" x14ac:dyDescent="0.4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45">
      <c r="A100" s="27" t="s">
        <v>90</v>
      </c>
      <c r="B100" s="26">
        <f t="shared" ref="B100:H100" si="15">+B77+B86+B98+B99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+I77+I86+I98+I99</f>
        <v>-1315</v>
      </c>
    </row>
    <row r="101" spans="1:9" x14ac:dyDescent="0.4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4.65" thickBot="1" x14ac:dyDescent="0.5">
      <c r="A102" s="6" t="s">
        <v>92</v>
      </c>
      <c r="B102" s="7">
        <f t="shared" ref="B102:G102" si="16">+B100+B101</f>
        <v>3852</v>
      </c>
      <c r="C102" s="7">
        <f t="shared" si="16"/>
        <v>3138</v>
      </c>
      <c r="D102" s="7">
        <f t="shared" si="16"/>
        <v>3808</v>
      </c>
      <c r="E102" s="7">
        <f t="shared" si="16"/>
        <v>4249</v>
      </c>
      <c r="F102" s="7">
        <f t="shared" si="16"/>
        <v>4466</v>
      </c>
      <c r="G102" s="7">
        <f t="shared" si="16"/>
        <v>8348</v>
      </c>
      <c r="H102" s="7">
        <f>+H100+H101</f>
        <v>9889</v>
      </c>
      <c r="I102" s="7">
        <f>+I100+I101</f>
        <v>8574</v>
      </c>
    </row>
    <row r="103" spans="1:9" s="12" customFormat="1" ht="14.65" thickTop="1" x14ac:dyDescent="0.45">
      <c r="A103" s="12" t="s">
        <v>19</v>
      </c>
      <c r="B103" s="13">
        <f t="shared" ref="B103:I103" si="17">+B102-B25</f>
        <v>0</v>
      </c>
      <c r="C103" s="13">
        <f t="shared" si="17"/>
        <v>0</v>
      </c>
      <c r="D103" s="13">
        <f t="shared" si="17"/>
        <v>0</v>
      </c>
      <c r="E103" s="13">
        <f t="shared" si="17"/>
        <v>0</v>
      </c>
      <c r="F103" s="13">
        <f t="shared" si="17"/>
        <v>0</v>
      </c>
      <c r="G103" s="13">
        <f t="shared" si="17"/>
        <v>0</v>
      </c>
      <c r="H103" s="13">
        <f t="shared" si="17"/>
        <v>0</v>
      </c>
      <c r="I103" s="13">
        <f t="shared" si="17"/>
        <v>0</v>
      </c>
    </row>
    <row r="104" spans="1:9" x14ac:dyDescent="0.4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4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4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4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4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4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4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4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45">
      <c r="A113" s="2" t="s">
        <v>100</v>
      </c>
      <c r="B113" s="3">
        <f t="shared" ref="B113:H113" si="18">+SUM(B114:B116)</f>
        <v>13740</v>
      </c>
      <c r="C113" s="3">
        <f t="shared" si="18"/>
        <v>14764</v>
      </c>
      <c r="D113" s="3">
        <f t="shared" si="18"/>
        <v>15216</v>
      </c>
      <c r="E113" s="3">
        <f t="shared" si="18"/>
        <v>14855</v>
      </c>
      <c r="F113" s="3">
        <f t="shared" si="18"/>
        <v>15902</v>
      </c>
      <c r="G113" s="3">
        <f t="shared" si="18"/>
        <v>14484</v>
      </c>
      <c r="H113" s="3">
        <f t="shared" si="18"/>
        <v>17179</v>
      </c>
      <c r="I113" s="3">
        <f>+SUM(I114:I116)</f>
        <v>18353</v>
      </c>
    </row>
    <row r="114" spans="1:9" x14ac:dyDescent="0.4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4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4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45">
      <c r="A117" s="2" t="s">
        <v>101</v>
      </c>
      <c r="B117" s="3">
        <f t="shared" ref="B117:H117" si="19">+SUM(B118:B120)</f>
        <v>7126</v>
      </c>
      <c r="C117" s="3">
        <f t="shared" si="19"/>
        <v>7315</v>
      </c>
      <c r="D117" s="3">
        <f t="shared" si="19"/>
        <v>7698</v>
      </c>
      <c r="E117" s="3">
        <f t="shared" si="19"/>
        <v>9242</v>
      </c>
      <c r="F117" s="3">
        <f t="shared" si="19"/>
        <v>9812</v>
      </c>
      <c r="G117" s="3">
        <f t="shared" si="19"/>
        <v>9347</v>
      </c>
      <c r="H117" s="3">
        <f t="shared" si="19"/>
        <v>11456</v>
      </c>
      <c r="I117" s="3">
        <f>+SUM(I118:I120)</f>
        <v>12479</v>
      </c>
    </row>
    <row r="118" spans="1:9" x14ac:dyDescent="0.45">
      <c r="A118" s="11" t="s">
        <v>113</v>
      </c>
      <c r="B118">
        <v>4703</v>
      </c>
      <c r="C118">
        <v>4867</v>
      </c>
      <c r="D118">
        <v>4995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45">
      <c r="A119" s="11" t="s">
        <v>114</v>
      </c>
      <c r="B119">
        <v>2050</v>
      </c>
      <c r="C119">
        <v>2091</v>
      </c>
      <c r="D119">
        <v>2339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45">
      <c r="A120" s="11" t="s">
        <v>115</v>
      </c>
      <c r="B120">
        <v>373</v>
      </c>
      <c r="C120">
        <v>357</v>
      </c>
      <c r="D120">
        <v>364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45">
      <c r="A121" s="2" t="s">
        <v>102</v>
      </c>
      <c r="B121" s="3">
        <f t="shared" ref="B121:H121" si="20">+SUM(B122:B124)</f>
        <v>3067</v>
      </c>
      <c r="C121" s="3">
        <f t="shared" si="20"/>
        <v>3785</v>
      </c>
      <c r="D121" s="3">
        <f t="shared" si="20"/>
        <v>4237</v>
      </c>
      <c r="E121" s="3">
        <f t="shared" si="20"/>
        <v>5134</v>
      </c>
      <c r="F121" s="3">
        <f t="shared" si="20"/>
        <v>6208</v>
      </c>
      <c r="G121" s="3">
        <f t="shared" si="20"/>
        <v>6679</v>
      </c>
      <c r="H121" s="3">
        <f t="shared" si="20"/>
        <v>8290</v>
      </c>
      <c r="I121" s="3">
        <f>+SUM(I122:I124)</f>
        <v>7547</v>
      </c>
    </row>
    <row r="122" spans="1:9" x14ac:dyDescent="0.4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4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4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45">
      <c r="A125" s="2" t="s">
        <v>199</v>
      </c>
      <c r="B125" s="3">
        <f t="shared" ref="B125:I125" si="21">+SUM(B126:B128)</f>
        <v>3898</v>
      </c>
      <c r="C125" s="3">
        <f t="shared" si="21"/>
        <v>3701</v>
      </c>
      <c r="D125" s="3">
        <f t="shared" si="21"/>
        <v>3995</v>
      </c>
      <c r="E125" s="3">
        <f t="shared" si="21"/>
        <v>0</v>
      </c>
      <c r="F125" s="3">
        <f t="shared" si="21"/>
        <v>0</v>
      </c>
      <c r="G125" s="3">
        <f t="shared" si="21"/>
        <v>0</v>
      </c>
      <c r="H125" s="3">
        <f t="shared" si="21"/>
        <v>0</v>
      </c>
      <c r="I125" s="3">
        <f t="shared" si="21"/>
        <v>0</v>
      </c>
    </row>
    <row r="126" spans="1:9" x14ac:dyDescent="0.45">
      <c r="A126" s="11" t="s">
        <v>113</v>
      </c>
      <c r="B126" s="8">
        <v>2641</v>
      </c>
      <c r="C126" s="8">
        <v>2536</v>
      </c>
      <c r="D126" s="8">
        <v>2816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45">
      <c r="A127" s="11" t="s">
        <v>114</v>
      </c>
      <c r="B127" s="8">
        <v>1021</v>
      </c>
      <c r="C127">
        <v>947</v>
      </c>
      <c r="D127">
        <v>966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45">
      <c r="A128" s="11" t="s">
        <v>115</v>
      </c>
      <c r="B128">
        <v>236</v>
      </c>
      <c r="C128">
        <v>218</v>
      </c>
      <c r="D128">
        <v>213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45">
      <c r="A129" s="2" t="s">
        <v>106</v>
      </c>
      <c r="B129" s="3">
        <f t="shared" ref="B129:H129" si="22">+SUM(B130:B132)</f>
        <v>755</v>
      </c>
      <c r="C129" s="3">
        <f t="shared" si="22"/>
        <v>869</v>
      </c>
      <c r="D129" s="3">
        <f t="shared" si="22"/>
        <v>1014</v>
      </c>
      <c r="E129" s="3">
        <f t="shared" si="22"/>
        <v>5166</v>
      </c>
      <c r="F129" s="3">
        <f t="shared" si="22"/>
        <v>5254</v>
      </c>
      <c r="G129" s="3">
        <f t="shared" si="22"/>
        <v>5028</v>
      </c>
      <c r="H129" s="3">
        <f t="shared" si="22"/>
        <v>5343</v>
      </c>
      <c r="I129" s="3">
        <f>+SUM(I130:I132)</f>
        <v>5955</v>
      </c>
    </row>
    <row r="130" spans="1:9" x14ac:dyDescent="0.45">
      <c r="A130" s="11" t="s">
        <v>113</v>
      </c>
      <c r="B130">
        <v>452</v>
      </c>
      <c r="C130">
        <v>570</v>
      </c>
      <c r="D130">
        <v>666</v>
      </c>
      <c r="E130" s="8">
        <v>3575</v>
      </c>
      <c r="F130" s="8">
        <v>3622</v>
      </c>
      <c r="G130" s="8">
        <v>3449</v>
      </c>
      <c r="H130" s="8">
        <v>3659</v>
      </c>
      <c r="I130" s="8">
        <v>4111</v>
      </c>
    </row>
    <row r="131" spans="1:9" x14ac:dyDescent="0.45">
      <c r="A131" s="11" t="s">
        <v>114</v>
      </c>
      <c r="B131">
        <v>230</v>
      </c>
      <c r="C131">
        <v>228</v>
      </c>
      <c r="D131">
        <v>275</v>
      </c>
      <c r="E131" s="8">
        <v>1347</v>
      </c>
      <c r="F131" s="8">
        <v>1395</v>
      </c>
      <c r="G131" s="8">
        <v>1365</v>
      </c>
      <c r="H131" s="8">
        <v>1494</v>
      </c>
      <c r="I131" s="8">
        <v>1610</v>
      </c>
    </row>
    <row r="132" spans="1:9" x14ac:dyDescent="0.45">
      <c r="A132" s="11" t="s">
        <v>115</v>
      </c>
      <c r="B132">
        <v>73</v>
      </c>
      <c r="C132">
        <v>71</v>
      </c>
      <c r="D132">
        <v>73</v>
      </c>
      <c r="E132">
        <v>244</v>
      </c>
      <c r="F132">
        <v>237</v>
      </c>
      <c r="G132">
        <v>214</v>
      </c>
      <c r="H132">
        <v>190</v>
      </c>
      <c r="I132">
        <v>234</v>
      </c>
    </row>
    <row r="133" spans="1:9" x14ac:dyDescent="0.45">
      <c r="A133" s="2" t="s">
        <v>107</v>
      </c>
      <c r="B133" s="3">
        <v>115</v>
      </c>
      <c r="C133" s="3">
        <v>73</v>
      </c>
      <c r="D133" s="3">
        <v>73</v>
      </c>
      <c r="E133" s="3">
        <v>88</v>
      </c>
      <c r="F133" s="3">
        <v>42</v>
      </c>
      <c r="G133" s="3">
        <v>30</v>
      </c>
      <c r="H133" s="3">
        <v>25</v>
      </c>
      <c r="I133" s="3">
        <v>102</v>
      </c>
    </row>
    <row r="134" spans="1:9" x14ac:dyDescent="0.45">
      <c r="A134" s="4" t="s">
        <v>103</v>
      </c>
      <c r="B134" s="5">
        <f>+B113+B117+B121+B129+B133+B125</f>
        <v>28701</v>
      </c>
      <c r="C134" s="5">
        <f t="shared" ref="C134:G134" si="23">+C113+C117+C121+C129+C133+C125</f>
        <v>30507</v>
      </c>
      <c r="D134" s="5">
        <f t="shared" si="23"/>
        <v>32233</v>
      </c>
      <c r="E134" s="5">
        <f t="shared" si="23"/>
        <v>34485</v>
      </c>
      <c r="F134" s="5">
        <f t="shared" si="23"/>
        <v>37218</v>
      </c>
      <c r="G134" s="5">
        <f t="shared" si="23"/>
        <v>35568</v>
      </c>
      <c r="H134" s="5">
        <f t="shared" ref="H134:I134" si="24">+H113+H117+H121+H129+H133</f>
        <v>42293</v>
      </c>
      <c r="I134" s="5">
        <f t="shared" si="24"/>
        <v>44436</v>
      </c>
    </row>
    <row r="135" spans="1:9" x14ac:dyDescent="0.45">
      <c r="A135" s="2" t="s">
        <v>104</v>
      </c>
      <c r="B135" s="3">
        <v>1982</v>
      </c>
      <c r="C135" s="3">
        <v>1955</v>
      </c>
      <c r="D135" s="3">
        <v>2042</v>
      </c>
      <c r="E135" s="3">
        <v>1886</v>
      </c>
      <c r="F135" s="3">
        <f>+SUM(F136:F139)</f>
        <v>1906</v>
      </c>
      <c r="G135" s="3">
        <f>+SUM(G136:G139)</f>
        <v>1846</v>
      </c>
      <c r="H135" s="3">
        <f>+SUM(H136:H139)</f>
        <v>2205</v>
      </c>
      <c r="I135" s="3">
        <f>+SUM(I136:I139)</f>
        <v>2346</v>
      </c>
    </row>
    <row r="136" spans="1:9" x14ac:dyDescent="0.45">
      <c r="A136" s="11" t="s">
        <v>113</v>
      </c>
      <c r="B136" s="3">
        <v>0</v>
      </c>
      <c r="C136" s="3">
        <v>0</v>
      </c>
      <c r="D136" s="3">
        <v>0</v>
      </c>
      <c r="E136" s="3">
        <v>0</v>
      </c>
      <c r="F136" s="3">
        <v>1658</v>
      </c>
      <c r="G136" s="3">
        <v>1642</v>
      </c>
      <c r="H136" s="3">
        <v>1986</v>
      </c>
      <c r="I136" s="3">
        <v>2094</v>
      </c>
    </row>
    <row r="137" spans="1:9" x14ac:dyDescent="0.45">
      <c r="A137" s="11" t="s">
        <v>114</v>
      </c>
      <c r="B137" s="3">
        <v>0</v>
      </c>
      <c r="C137" s="3">
        <v>0</v>
      </c>
      <c r="D137" s="3">
        <v>0</v>
      </c>
      <c r="E137" s="3">
        <v>0</v>
      </c>
      <c r="F137" s="3">
        <v>118</v>
      </c>
      <c r="G137" s="3">
        <v>89</v>
      </c>
      <c r="H137" s="3">
        <v>104</v>
      </c>
      <c r="I137" s="3">
        <v>103</v>
      </c>
    </row>
    <row r="138" spans="1:9" s="12" customFormat="1" x14ac:dyDescent="0.45">
      <c r="A138" s="11" t="s">
        <v>115</v>
      </c>
      <c r="B138" s="3">
        <v>0</v>
      </c>
      <c r="C138" s="3">
        <v>0</v>
      </c>
      <c r="D138" s="3">
        <v>0</v>
      </c>
      <c r="E138" s="3">
        <v>0</v>
      </c>
      <c r="F138" s="3">
        <v>24</v>
      </c>
      <c r="G138" s="3">
        <v>25</v>
      </c>
      <c r="H138" s="3">
        <v>29</v>
      </c>
      <c r="I138" s="3">
        <v>26</v>
      </c>
    </row>
    <row r="139" spans="1:9" x14ac:dyDescent="0.45">
      <c r="A139" s="11" t="s">
        <v>121</v>
      </c>
      <c r="B139" s="3">
        <v>0</v>
      </c>
      <c r="C139" s="3">
        <v>0</v>
      </c>
      <c r="D139" s="3">
        <v>0</v>
      </c>
      <c r="E139" s="3">
        <v>0</v>
      </c>
      <c r="F139" s="3">
        <v>106</v>
      </c>
      <c r="G139" s="3">
        <v>90</v>
      </c>
      <c r="H139" s="3">
        <v>86</v>
      </c>
      <c r="I139" s="3">
        <v>123</v>
      </c>
    </row>
    <row r="140" spans="1:9" x14ac:dyDescent="0.45">
      <c r="A140" s="2" t="s">
        <v>108</v>
      </c>
      <c r="B140" s="3">
        <v>-82</v>
      </c>
      <c r="C140" s="3">
        <v>-86</v>
      </c>
      <c r="D140" s="3">
        <v>75</v>
      </c>
      <c r="E140" s="3">
        <v>26</v>
      </c>
      <c r="F140" s="3">
        <v>-7</v>
      </c>
      <c r="G140" s="3">
        <v>-11</v>
      </c>
      <c r="H140" s="3">
        <v>40</v>
      </c>
      <c r="I140" s="3">
        <v>-72</v>
      </c>
    </row>
    <row r="141" spans="1:9" ht="14.65" thickBot="1" x14ac:dyDescent="0.5">
      <c r="A141" s="6" t="s">
        <v>105</v>
      </c>
      <c r="B141" s="7">
        <f t="shared" ref="B141:H141" si="25">+B134+B135+B140</f>
        <v>30601</v>
      </c>
      <c r="C141" s="7">
        <f t="shared" si="25"/>
        <v>32376</v>
      </c>
      <c r="D141" s="7">
        <f t="shared" si="25"/>
        <v>34350</v>
      </c>
      <c r="E141" s="7">
        <f t="shared" si="25"/>
        <v>36397</v>
      </c>
      <c r="F141" s="7">
        <f t="shared" si="25"/>
        <v>39117</v>
      </c>
      <c r="G141" s="7">
        <f t="shared" si="25"/>
        <v>37403</v>
      </c>
      <c r="H141" s="7">
        <f t="shared" si="25"/>
        <v>44538</v>
      </c>
      <c r="I141" s="7">
        <f>+I134+I135+I140</f>
        <v>46710</v>
      </c>
    </row>
    <row r="142" spans="1:9" ht="14.65" thickTop="1" x14ac:dyDescent="0.45">
      <c r="A142" s="12" t="s">
        <v>111</v>
      </c>
      <c r="B142" s="13">
        <f>+I141-I2</f>
        <v>0</v>
      </c>
      <c r="C142" s="13">
        <f t="shared" ref="C142:H142" si="26">+C141-C2</f>
        <v>0</v>
      </c>
      <c r="D142" s="13">
        <f t="shared" si="26"/>
        <v>0</v>
      </c>
      <c r="E142" s="13">
        <f t="shared" si="26"/>
        <v>0</v>
      </c>
      <c r="F142" s="13">
        <f t="shared" si="26"/>
        <v>0</v>
      </c>
      <c r="G142" s="13">
        <f t="shared" si="26"/>
        <v>0</v>
      </c>
      <c r="H142" s="13">
        <f t="shared" si="26"/>
        <v>0</v>
      </c>
      <c r="I142" s="12"/>
    </row>
    <row r="143" spans="1:9" x14ac:dyDescent="0.45">
      <c r="A143" s="1" t="s">
        <v>110</v>
      </c>
    </row>
    <row r="144" spans="1:9" x14ac:dyDescent="0.45">
      <c r="A144" s="2" t="s">
        <v>100</v>
      </c>
      <c r="B144" s="3">
        <v>3645</v>
      </c>
      <c r="C144" s="3">
        <v>3763</v>
      </c>
      <c r="D144" s="3">
        <v>3875</v>
      </c>
      <c r="E144" s="3">
        <v>3600</v>
      </c>
      <c r="F144" s="3">
        <v>3925</v>
      </c>
      <c r="G144" s="3">
        <v>2899</v>
      </c>
      <c r="H144" s="3">
        <v>5089</v>
      </c>
      <c r="I144" s="3">
        <v>5114</v>
      </c>
    </row>
    <row r="145" spans="1:9" x14ac:dyDescent="0.45">
      <c r="A145" s="2" t="s">
        <v>101</v>
      </c>
      <c r="B145" s="3">
        <v>1524</v>
      </c>
      <c r="C145" s="3">
        <v>1723</v>
      </c>
      <c r="D145" s="3">
        <v>1447</v>
      </c>
      <c r="E145" s="3">
        <v>1587</v>
      </c>
      <c r="F145" s="3">
        <v>1995</v>
      </c>
      <c r="G145" s="3">
        <v>1541</v>
      </c>
      <c r="H145" s="3">
        <v>2435</v>
      </c>
      <c r="I145" s="3">
        <v>3293</v>
      </c>
    </row>
    <row r="146" spans="1:9" x14ac:dyDescent="0.45">
      <c r="A146" s="2" t="s">
        <v>102</v>
      </c>
      <c r="B146" s="3">
        <v>993</v>
      </c>
      <c r="C146" s="3">
        <v>1372</v>
      </c>
      <c r="D146" s="3">
        <v>1507</v>
      </c>
      <c r="E146" s="3">
        <v>1807</v>
      </c>
      <c r="F146" s="3">
        <v>2376</v>
      </c>
      <c r="G146" s="3">
        <v>2490</v>
      </c>
      <c r="H146" s="3">
        <v>3243</v>
      </c>
      <c r="I146" s="3">
        <v>2365</v>
      </c>
    </row>
    <row r="147" spans="1:9" x14ac:dyDescent="0.45">
      <c r="A147" s="2" t="s">
        <v>106</v>
      </c>
      <c r="B147" s="3">
        <v>100</v>
      </c>
      <c r="C147" s="3">
        <v>174</v>
      </c>
      <c r="D147" s="3">
        <v>224</v>
      </c>
      <c r="E147" s="3">
        <v>1189</v>
      </c>
      <c r="F147" s="3">
        <v>1323</v>
      </c>
      <c r="G147" s="3">
        <v>1184</v>
      </c>
      <c r="H147" s="3">
        <v>1530</v>
      </c>
      <c r="I147" s="3">
        <v>1896</v>
      </c>
    </row>
    <row r="148" spans="1:9" x14ac:dyDescent="0.45">
      <c r="A148" s="2" t="s">
        <v>199</v>
      </c>
      <c r="B148" s="3">
        <v>818</v>
      </c>
      <c r="C148" s="3">
        <v>892</v>
      </c>
      <c r="D148" s="3">
        <v>816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s="12" customFormat="1" x14ac:dyDescent="0.45">
      <c r="A149" s="2" t="s">
        <v>107</v>
      </c>
      <c r="B149" s="3">
        <v>-2263</v>
      </c>
      <c r="C149" s="3">
        <v>-2596</v>
      </c>
      <c r="D149" s="3">
        <v>-2677</v>
      </c>
      <c r="E149" s="3">
        <v>-2658</v>
      </c>
      <c r="F149" s="3">
        <v>-3262</v>
      </c>
      <c r="G149" s="3">
        <v>-3468</v>
      </c>
      <c r="H149" s="3">
        <v>-3656</v>
      </c>
      <c r="I149" s="3">
        <v>-4262</v>
      </c>
    </row>
    <row r="150" spans="1:9" x14ac:dyDescent="0.45">
      <c r="A150" s="4" t="s">
        <v>103</v>
      </c>
      <c r="B150" s="5">
        <f t="shared" ref="B150:I150" si="27">+SUM(B144:B149)</f>
        <v>4817</v>
      </c>
      <c r="C150" s="5">
        <f t="shared" si="27"/>
        <v>5328</v>
      </c>
      <c r="D150" s="5">
        <f t="shared" si="27"/>
        <v>5192</v>
      </c>
      <c r="E150" s="5">
        <f t="shared" si="27"/>
        <v>5525</v>
      </c>
      <c r="F150" s="5">
        <f t="shared" si="27"/>
        <v>6357</v>
      </c>
      <c r="G150" s="5">
        <f t="shared" si="27"/>
        <v>4646</v>
      </c>
      <c r="H150" s="5">
        <f t="shared" si="27"/>
        <v>8641</v>
      </c>
      <c r="I150" s="5">
        <f t="shared" si="27"/>
        <v>8406</v>
      </c>
    </row>
    <row r="151" spans="1:9" x14ac:dyDescent="0.45">
      <c r="A151" s="2" t="s">
        <v>104</v>
      </c>
      <c r="B151" s="3">
        <v>517</v>
      </c>
      <c r="C151" s="3">
        <v>487</v>
      </c>
      <c r="D151" s="3">
        <v>477</v>
      </c>
      <c r="E151" s="3">
        <v>310</v>
      </c>
      <c r="F151" s="3">
        <v>303</v>
      </c>
      <c r="G151" s="3">
        <v>297</v>
      </c>
      <c r="H151" s="3">
        <v>543</v>
      </c>
      <c r="I151" s="3">
        <v>669</v>
      </c>
    </row>
    <row r="152" spans="1:9" x14ac:dyDescent="0.45">
      <c r="A152" s="2" t="s">
        <v>108</v>
      </c>
      <c r="B152" s="3">
        <v>-1101</v>
      </c>
      <c r="C152" s="3">
        <v>-1173</v>
      </c>
      <c r="D152" s="3">
        <v>-724</v>
      </c>
      <c r="E152" s="3">
        <v>-1456</v>
      </c>
      <c r="F152" s="3">
        <v>-1810</v>
      </c>
      <c r="G152" s="3">
        <v>-1967</v>
      </c>
      <c r="H152" s="3">
        <v>-2261</v>
      </c>
      <c r="I152" s="3">
        <v>-2219</v>
      </c>
    </row>
    <row r="153" spans="1:9" ht="14.65" thickBot="1" x14ac:dyDescent="0.5">
      <c r="A153" s="6" t="s">
        <v>112</v>
      </c>
      <c r="B153" s="7">
        <f t="shared" ref="B153" si="28">+SUM(B150:B152)</f>
        <v>4233</v>
      </c>
      <c r="C153" s="7">
        <f t="shared" ref="C153:H153" si="29">+SUM(C150:C152)</f>
        <v>4642</v>
      </c>
      <c r="D153" s="7">
        <f t="shared" si="29"/>
        <v>4945</v>
      </c>
      <c r="E153" s="7">
        <f t="shared" si="29"/>
        <v>4379</v>
      </c>
      <c r="F153" s="7">
        <f t="shared" si="29"/>
        <v>4850</v>
      </c>
      <c r="G153" s="7">
        <f t="shared" si="29"/>
        <v>2976</v>
      </c>
      <c r="H153" s="7">
        <f t="shared" si="29"/>
        <v>6923</v>
      </c>
      <c r="I153" s="7">
        <f>+SUM(I150:I152)</f>
        <v>6856</v>
      </c>
    </row>
    <row r="154" spans="1:9" ht="14.65" thickTop="1" x14ac:dyDescent="0.45">
      <c r="A154" s="12" t="s">
        <v>111</v>
      </c>
      <c r="B154" s="13">
        <f t="shared" ref="B154:I154" si="30">+B153-B10-B8</f>
        <v>0</v>
      </c>
      <c r="C154" s="13">
        <f t="shared" si="30"/>
        <v>0</v>
      </c>
      <c r="D154" s="13">
        <f t="shared" si="30"/>
        <v>0</v>
      </c>
      <c r="E154" s="13">
        <f t="shared" si="30"/>
        <v>0</v>
      </c>
      <c r="F154" s="13">
        <f t="shared" si="30"/>
        <v>0</v>
      </c>
      <c r="G154" s="13">
        <f t="shared" si="30"/>
        <v>0</v>
      </c>
      <c r="H154" s="13">
        <f t="shared" si="30"/>
        <v>0</v>
      </c>
      <c r="I154" s="13">
        <f t="shared" si="30"/>
        <v>0</v>
      </c>
    </row>
    <row r="155" spans="1:9" x14ac:dyDescent="0.45">
      <c r="A155" s="1" t="s">
        <v>117</v>
      </c>
    </row>
    <row r="156" spans="1:9" x14ac:dyDescent="0.45">
      <c r="A156" s="2" t="s">
        <v>100</v>
      </c>
      <c r="B156" s="3">
        <v>632</v>
      </c>
      <c r="C156" s="3">
        <v>742</v>
      </c>
      <c r="D156" s="3">
        <v>819</v>
      </c>
      <c r="E156" s="3">
        <v>848</v>
      </c>
      <c r="F156" s="3">
        <v>814</v>
      </c>
      <c r="G156" s="3">
        <v>645</v>
      </c>
      <c r="H156" s="3">
        <v>617</v>
      </c>
      <c r="I156" s="3">
        <v>639</v>
      </c>
    </row>
    <row r="157" spans="1:9" x14ac:dyDescent="0.45">
      <c r="A157" s="2" t="s">
        <v>101</v>
      </c>
      <c r="B157" s="3">
        <v>498</v>
      </c>
      <c r="C157" s="3">
        <v>639</v>
      </c>
      <c r="D157" s="3">
        <v>706</v>
      </c>
      <c r="E157" s="3">
        <v>849</v>
      </c>
      <c r="F157" s="3">
        <v>929</v>
      </c>
      <c r="G157" s="3">
        <v>885</v>
      </c>
      <c r="H157" s="3">
        <v>982</v>
      </c>
      <c r="I157" s="3">
        <v>920</v>
      </c>
    </row>
    <row r="158" spans="1:9" x14ac:dyDescent="0.45">
      <c r="A158" s="2" t="s">
        <v>102</v>
      </c>
      <c r="B158" s="3">
        <v>254</v>
      </c>
      <c r="C158" s="3">
        <v>234</v>
      </c>
      <c r="D158" s="3">
        <v>225</v>
      </c>
      <c r="E158" s="3">
        <v>256</v>
      </c>
      <c r="F158" s="3">
        <v>237</v>
      </c>
      <c r="G158" s="3">
        <v>214</v>
      </c>
      <c r="H158" s="3">
        <v>288</v>
      </c>
      <c r="I158" s="3">
        <v>303</v>
      </c>
    </row>
    <row r="159" spans="1:9" x14ac:dyDescent="0.45">
      <c r="A159" s="2" t="s">
        <v>118</v>
      </c>
      <c r="B159" s="3">
        <v>205</v>
      </c>
      <c r="C159" s="3">
        <v>223</v>
      </c>
      <c r="D159" s="3">
        <v>223</v>
      </c>
      <c r="E159" s="3">
        <v>339</v>
      </c>
      <c r="F159" s="3">
        <v>326</v>
      </c>
      <c r="G159" s="3">
        <v>296</v>
      </c>
      <c r="H159" s="3">
        <v>304</v>
      </c>
      <c r="I159" s="3">
        <v>274</v>
      </c>
    </row>
    <row r="160" spans="1:9" x14ac:dyDescent="0.45">
      <c r="A160" s="2" t="s">
        <v>199</v>
      </c>
      <c r="B160" s="3">
        <v>103</v>
      </c>
      <c r="C160" s="3">
        <v>109</v>
      </c>
      <c r="D160" s="3">
        <v>120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45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45">
      <c r="A162" s="4" t="s">
        <v>119</v>
      </c>
      <c r="B162" s="5">
        <f t="shared" ref="B162:I162" si="31">+SUM(B156:B161)</f>
        <v>2176</v>
      </c>
      <c r="C162" s="5">
        <f t="shared" si="31"/>
        <v>2458</v>
      </c>
      <c r="D162" s="5">
        <f t="shared" si="31"/>
        <v>2626</v>
      </c>
      <c r="E162" s="5">
        <f t="shared" si="31"/>
        <v>2889</v>
      </c>
      <c r="F162" s="5">
        <f t="shared" si="31"/>
        <v>2971</v>
      </c>
      <c r="G162" s="5">
        <f t="shared" si="31"/>
        <v>2870</v>
      </c>
      <c r="H162" s="5">
        <f t="shared" si="31"/>
        <v>2971</v>
      </c>
      <c r="I162" s="5">
        <f t="shared" si="31"/>
        <v>2925</v>
      </c>
    </row>
    <row r="163" spans="1:9" x14ac:dyDescent="0.45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45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4.65" thickBot="1" x14ac:dyDescent="0.5">
      <c r="A165" s="6" t="s">
        <v>120</v>
      </c>
      <c r="B165" s="7">
        <f t="shared" ref="B165:H165" si="32">+SUM(B162:B164)</f>
        <v>3011</v>
      </c>
      <c r="C165" s="7">
        <f t="shared" si="32"/>
        <v>3520</v>
      </c>
      <c r="D165" s="7">
        <f t="shared" si="32"/>
        <v>3989</v>
      </c>
      <c r="E165" s="7">
        <f t="shared" si="32"/>
        <v>4454</v>
      </c>
      <c r="F165" s="7">
        <f t="shared" si="32"/>
        <v>4744</v>
      </c>
      <c r="G165" s="7">
        <f t="shared" si="32"/>
        <v>4866</v>
      </c>
      <c r="H165" s="7">
        <f t="shared" si="32"/>
        <v>4904</v>
      </c>
      <c r="I165" s="7">
        <f>+SUM(I162:I164)</f>
        <v>4791</v>
      </c>
    </row>
    <row r="166" spans="1:9" ht="14.65" thickTop="1" x14ac:dyDescent="0.45">
      <c r="A166" s="12" t="s">
        <v>111</v>
      </c>
      <c r="B166" s="13">
        <f t="shared" ref="B166:I166" si="33">+B165-B32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45">
      <c r="A167" s="1" t="s">
        <v>122</v>
      </c>
    </row>
    <row r="168" spans="1:9" x14ac:dyDescent="0.45">
      <c r="A168" s="2" t="s">
        <v>100</v>
      </c>
      <c r="B168" s="3">
        <v>208</v>
      </c>
      <c r="C168" s="3">
        <v>242</v>
      </c>
      <c r="D168" s="3">
        <v>223</v>
      </c>
      <c r="E168" s="3">
        <v>196</v>
      </c>
      <c r="F168" s="3">
        <v>117</v>
      </c>
      <c r="G168" s="3">
        <v>110</v>
      </c>
      <c r="H168" s="3">
        <v>98</v>
      </c>
      <c r="I168" s="3">
        <v>146</v>
      </c>
    </row>
    <row r="169" spans="1:9" x14ac:dyDescent="0.45">
      <c r="A169" s="2" t="s">
        <v>101</v>
      </c>
      <c r="B169" s="3">
        <v>236</v>
      </c>
      <c r="C169" s="3">
        <v>232</v>
      </c>
      <c r="D169" s="3">
        <v>172</v>
      </c>
      <c r="E169" s="3">
        <v>240</v>
      </c>
      <c r="F169" s="3">
        <v>233</v>
      </c>
      <c r="G169" s="3">
        <v>139</v>
      </c>
      <c r="H169" s="3">
        <v>153</v>
      </c>
      <c r="I169" s="3">
        <v>197</v>
      </c>
    </row>
    <row r="170" spans="1:9" x14ac:dyDescent="0.45">
      <c r="A170" s="2" t="s">
        <v>102</v>
      </c>
      <c r="B170" s="3">
        <v>69</v>
      </c>
      <c r="C170" s="3">
        <v>44</v>
      </c>
      <c r="D170" s="3">
        <v>51</v>
      </c>
      <c r="E170" s="3">
        <v>76</v>
      </c>
      <c r="F170" s="3">
        <v>49</v>
      </c>
      <c r="G170" s="3">
        <v>28</v>
      </c>
      <c r="H170" s="3">
        <v>94</v>
      </c>
      <c r="I170" s="3">
        <v>78</v>
      </c>
    </row>
    <row r="171" spans="1:9" x14ac:dyDescent="0.45">
      <c r="A171" s="2" t="s">
        <v>118</v>
      </c>
      <c r="B171" s="3">
        <v>15</v>
      </c>
      <c r="C171" s="3">
        <v>13</v>
      </c>
      <c r="D171" s="3">
        <v>21</v>
      </c>
      <c r="E171" s="3">
        <v>49</v>
      </c>
      <c r="F171" s="3">
        <v>47</v>
      </c>
      <c r="G171" s="3">
        <v>41</v>
      </c>
      <c r="H171" s="3">
        <v>54</v>
      </c>
      <c r="I171" s="3">
        <v>56</v>
      </c>
    </row>
    <row r="172" spans="1:9" x14ac:dyDescent="0.45">
      <c r="A172" s="2" t="s">
        <v>199</v>
      </c>
      <c r="B172" s="3">
        <v>37</v>
      </c>
      <c r="C172" s="3">
        <v>51</v>
      </c>
      <c r="D172" s="3">
        <v>39</v>
      </c>
      <c r="E172" s="3">
        <v>0</v>
      </c>
      <c r="F172" s="3">
        <v>0</v>
      </c>
      <c r="G172" s="3">
        <v>0</v>
      </c>
      <c r="H172" s="3"/>
      <c r="I172" s="3"/>
    </row>
    <row r="173" spans="1:9" x14ac:dyDescent="0.45">
      <c r="A173" s="2" t="s">
        <v>107</v>
      </c>
      <c r="B173" s="3">
        <v>225</v>
      </c>
      <c r="C173" s="3">
        <v>258</v>
      </c>
      <c r="D173" s="3">
        <v>278</v>
      </c>
      <c r="E173" s="3">
        <v>286</v>
      </c>
      <c r="F173" s="3">
        <v>278</v>
      </c>
      <c r="G173" s="3">
        <v>438</v>
      </c>
      <c r="H173" s="3">
        <v>278</v>
      </c>
      <c r="I173" s="3">
        <v>222</v>
      </c>
    </row>
    <row r="174" spans="1:9" x14ac:dyDescent="0.45">
      <c r="A174" s="4" t="s">
        <v>119</v>
      </c>
      <c r="B174" s="5">
        <f t="shared" ref="B174:I174" si="34">+SUM(B168:B173)</f>
        <v>790</v>
      </c>
      <c r="C174" s="5">
        <f t="shared" si="34"/>
        <v>840</v>
      </c>
      <c r="D174" s="5">
        <f t="shared" si="34"/>
        <v>784</v>
      </c>
      <c r="E174" s="5">
        <f t="shared" si="34"/>
        <v>847</v>
      </c>
      <c r="F174" s="5">
        <f t="shared" si="34"/>
        <v>724</v>
      </c>
      <c r="G174" s="5">
        <f t="shared" si="34"/>
        <v>756</v>
      </c>
      <c r="H174" s="5">
        <f t="shared" si="34"/>
        <v>677</v>
      </c>
      <c r="I174" s="5">
        <f t="shared" si="34"/>
        <v>699</v>
      </c>
    </row>
    <row r="175" spans="1:9" x14ac:dyDescent="0.45">
      <c r="A175" s="2" t="s">
        <v>104</v>
      </c>
      <c r="B175" s="3"/>
      <c r="C175" s="3"/>
      <c r="D175" s="3"/>
      <c r="E175" s="3"/>
      <c r="F175" s="3"/>
      <c r="G175" s="3"/>
      <c r="H175" s="3">
        <v>7</v>
      </c>
      <c r="I175" s="3">
        <v>9</v>
      </c>
    </row>
    <row r="176" spans="1:9" x14ac:dyDescent="0.45">
      <c r="A176" s="2" t="s">
        <v>108</v>
      </c>
      <c r="B176" s="3">
        <f t="shared" ref="B176:H176" si="35">-(SUM(B174:B175)+B83)</f>
        <v>173</v>
      </c>
      <c r="C176" s="3">
        <f t="shared" si="35"/>
        <v>303</v>
      </c>
      <c r="D176" s="3">
        <f t="shared" si="35"/>
        <v>321</v>
      </c>
      <c r="E176" s="3">
        <f t="shared" si="35"/>
        <v>181</v>
      </c>
      <c r="F176" s="3">
        <f t="shared" si="35"/>
        <v>395</v>
      </c>
      <c r="G176" s="3">
        <f t="shared" si="35"/>
        <v>330</v>
      </c>
      <c r="H176" s="3">
        <f t="shared" si="35"/>
        <v>11</v>
      </c>
      <c r="I176" s="3">
        <f>-(SUM(I174:I175)+I83)</f>
        <v>50</v>
      </c>
    </row>
    <row r="177" spans="1:9" ht="14.65" thickBot="1" x14ac:dyDescent="0.5">
      <c r="A177" s="6" t="s">
        <v>123</v>
      </c>
      <c r="B177" s="7">
        <f t="shared" ref="B177:H177" si="36">+SUM(B174:B176)</f>
        <v>963</v>
      </c>
      <c r="C177" s="7">
        <f t="shared" si="36"/>
        <v>1143</v>
      </c>
      <c r="D177" s="7">
        <f t="shared" si="36"/>
        <v>1105</v>
      </c>
      <c r="E177" s="7">
        <f t="shared" si="36"/>
        <v>1028</v>
      </c>
      <c r="F177" s="7">
        <f t="shared" si="36"/>
        <v>1119</v>
      </c>
      <c r="G177" s="7">
        <f t="shared" si="36"/>
        <v>1086</v>
      </c>
      <c r="H177" s="7">
        <f t="shared" si="36"/>
        <v>695</v>
      </c>
      <c r="I177" s="7">
        <f>+SUM(I174:I176)</f>
        <v>758</v>
      </c>
    </row>
    <row r="178" spans="1:9" ht="14.65" thickTop="1" x14ac:dyDescent="0.45">
      <c r="A178" s="12" t="s">
        <v>111</v>
      </c>
      <c r="B178" s="13">
        <f t="shared" ref="B178:H178" si="37">+B177+B83</f>
        <v>0</v>
      </c>
      <c r="C178" s="13">
        <f t="shared" si="37"/>
        <v>0</v>
      </c>
      <c r="D178" s="13">
        <f t="shared" si="37"/>
        <v>0</v>
      </c>
      <c r="E178" s="13">
        <f t="shared" si="37"/>
        <v>0</v>
      </c>
      <c r="F178" s="13">
        <f t="shared" si="37"/>
        <v>0</v>
      </c>
      <c r="G178" s="13">
        <f t="shared" si="37"/>
        <v>0</v>
      </c>
      <c r="H178" s="13">
        <f t="shared" si="37"/>
        <v>0</v>
      </c>
      <c r="I178" s="13">
        <f>+I177+I83</f>
        <v>0</v>
      </c>
    </row>
    <row r="179" spans="1:9" x14ac:dyDescent="0.45">
      <c r="A179" s="1" t="s">
        <v>124</v>
      </c>
    </row>
    <row r="180" spans="1:9" x14ac:dyDescent="0.45">
      <c r="A180" s="2" t="s">
        <v>100</v>
      </c>
      <c r="B180" s="3">
        <v>121</v>
      </c>
      <c r="C180" s="3">
        <v>133</v>
      </c>
      <c r="D180" s="3">
        <v>140</v>
      </c>
      <c r="E180" s="3">
        <v>160</v>
      </c>
      <c r="F180" s="3">
        <v>149</v>
      </c>
      <c r="G180" s="3">
        <v>148</v>
      </c>
      <c r="H180" s="3">
        <v>130</v>
      </c>
      <c r="I180" s="3">
        <v>124</v>
      </c>
    </row>
    <row r="181" spans="1:9" x14ac:dyDescent="0.45">
      <c r="A181" s="2" t="s">
        <v>101</v>
      </c>
      <c r="B181" s="3">
        <v>87</v>
      </c>
      <c r="C181" s="3">
        <v>84</v>
      </c>
      <c r="D181" s="3">
        <v>104</v>
      </c>
      <c r="E181" s="3">
        <v>116</v>
      </c>
      <c r="F181" s="3">
        <v>111</v>
      </c>
      <c r="G181" s="3">
        <v>132</v>
      </c>
      <c r="H181" s="3">
        <v>136</v>
      </c>
      <c r="I181" s="3">
        <v>134</v>
      </c>
    </row>
    <row r="182" spans="1:9" x14ac:dyDescent="0.45">
      <c r="A182" s="2" t="s">
        <v>102</v>
      </c>
      <c r="B182" s="3">
        <v>46</v>
      </c>
      <c r="C182" s="3">
        <v>48</v>
      </c>
      <c r="D182" s="3">
        <v>54</v>
      </c>
      <c r="E182" s="3">
        <v>56</v>
      </c>
      <c r="F182" s="3">
        <v>50</v>
      </c>
      <c r="G182" s="3">
        <v>44</v>
      </c>
      <c r="H182" s="3">
        <v>46</v>
      </c>
      <c r="I182" s="3">
        <v>41</v>
      </c>
    </row>
    <row r="183" spans="1:9" x14ac:dyDescent="0.45">
      <c r="A183" s="2" t="s">
        <v>106</v>
      </c>
      <c r="B183" s="3">
        <v>22</v>
      </c>
      <c r="C183" s="3">
        <v>18</v>
      </c>
      <c r="D183" s="3">
        <v>18</v>
      </c>
      <c r="E183" s="3">
        <v>0</v>
      </c>
      <c r="F183" s="3">
        <v>0</v>
      </c>
      <c r="G183" s="3">
        <v>0</v>
      </c>
      <c r="H183" s="3">
        <v>43</v>
      </c>
      <c r="I183" s="3">
        <v>42</v>
      </c>
    </row>
    <row r="184" spans="1:9" x14ac:dyDescent="0.45">
      <c r="A184" s="2" t="s">
        <v>199</v>
      </c>
      <c r="B184" s="3">
        <v>27</v>
      </c>
      <c r="C184" s="3">
        <v>25</v>
      </c>
      <c r="D184" s="3">
        <v>38</v>
      </c>
      <c r="E184" s="3">
        <v>55</v>
      </c>
      <c r="F184" s="3">
        <v>53</v>
      </c>
      <c r="G184" s="3">
        <v>46</v>
      </c>
      <c r="H184" s="3"/>
      <c r="I184" s="3"/>
    </row>
    <row r="185" spans="1:9" x14ac:dyDescent="0.45">
      <c r="A185" s="2" t="s">
        <v>107</v>
      </c>
      <c r="B185" s="3">
        <v>210</v>
      </c>
      <c r="C185" s="3">
        <v>230</v>
      </c>
      <c r="D185" s="3">
        <v>233</v>
      </c>
      <c r="E185" s="3">
        <v>217</v>
      </c>
      <c r="F185" s="3">
        <v>195</v>
      </c>
      <c r="G185" s="3">
        <v>214</v>
      </c>
      <c r="H185" s="3">
        <v>222</v>
      </c>
      <c r="I185" s="3">
        <v>220</v>
      </c>
    </row>
    <row r="186" spans="1:9" x14ac:dyDescent="0.45">
      <c r="A186" s="4" t="s">
        <v>119</v>
      </c>
      <c r="B186" s="5">
        <f t="shared" ref="B186:I186" si="38">+SUM(B180:B185)</f>
        <v>513</v>
      </c>
      <c r="C186" s="5">
        <f t="shared" si="38"/>
        <v>538</v>
      </c>
      <c r="D186" s="5">
        <f t="shared" si="38"/>
        <v>587</v>
      </c>
      <c r="E186" s="5">
        <f t="shared" si="38"/>
        <v>604</v>
      </c>
      <c r="F186" s="5">
        <f t="shared" si="38"/>
        <v>558</v>
      </c>
      <c r="G186" s="5">
        <f t="shared" si="38"/>
        <v>584</v>
      </c>
      <c r="H186" s="5">
        <f t="shared" si="38"/>
        <v>577</v>
      </c>
      <c r="I186" s="5">
        <f t="shared" si="38"/>
        <v>561</v>
      </c>
    </row>
    <row r="187" spans="1:9" x14ac:dyDescent="0.45">
      <c r="A187" s="2" t="s">
        <v>104</v>
      </c>
      <c r="B187" s="3">
        <v>18</v>
      </c>
      <c r="C187" s="3">
        <v>27</v>
      </c>
      <c r="D187" s="3">
        <v>28</v>
      </c>
      <c r="E187" s="3">
        <v>33</v>
      </c>
      <c r="F187" s="3">
        <v>31</v>
      </c>
      <c r="G187" s="3">
        <v>25</v>
      </c>
      <c r="H187" s="3">
        <v>26</v>
      </c>
      <c r="I187" s="3">
        <v>22</v>
      </c>
    </row>
    <row r="188" spans="1:9" x14ac:dyDescent="0.45">
      <c r="A188" s="2" t="s">
        <v>108</v>
      </c>
      <c r="B188" s="3">
        <v>75</v>
      </c>
      <c r="C188" s="3">
        <v>84</v>
      </c>
      <c r="D188" s="3">
        <v>91</v>
      </c>
      <c r="E188" s="3">
        <v>110</v>
      </c>
      <c r="F188" s="3">
        <v>116</v>
      </c>
      <c r="G188" s="3">
        <v>112</v>
      </c>
      <c r="H188" s="3">
        <v>141</v>
      </c>
      <c r="I188" s="3">
        <v>134</v>
      </c>
    </row>
    <row r="189" spans="1:9" ht="14.65" thickBot="1" x14ac:dyDescent="0.5">
      <c r="A189" s="6" t="s">
        <v>125</v>
      </c>
      <c r="B189" s="7">
        <f t="shared" ref="B189:H189" si="39">+SUM(B186:B188)</f>
        <v>606</v>
      </c>
      <c r="C189" s="7">
        <f t="shared" si="39"/>
        <v>649</v>
      </c>
      <c r="D189" s="7">
        <f t="shared" si="39"/>
        <v>706</v>
      </c>
      <c r="E189" s="7">
        <f t="shared" si="39"/>
        <v>747</v>
      </c>
      <c r="F189" s="7">
        <f t="shared" si="39"/>
        <v>705</v>
      </c>
      <c r="G189" s="7">
        <f t="shared" si="39"/>
        <v>721</v>
      </c>
      <c r="H189" s="7">
        <f t="shared" si="39"/>
        <v>744</v>
      </c>
      <c r="I189" s="7">
        <f>+SUM(I186:I188)</f>
        <v>717</v>
      </c>
    </row>
    <row r="190" spans="1:9" ht="14.65" thickTop="1" x14ac:dyDescent="0.45">
      <c r="A190" s="12" t="s">
        <v>111</v>
      </c>
      <c r="B190" s="13">
        <f t="shared" ref="B190:I190" si="40">+B189-B67</f>
        <v>0</v>
      </c>
      <c r="C190" s="13">
        <f t="shared" si="40"/>
        <v>0</v>
      </c>
      <c r="D190" s="13">
        <f t="shared" si="40"/>
        <v>0</v>
      </c>
      <c r="E190" s="13">
        <f t="shared" si="40"/>
        <v>0</v>
      </c>
      <c r="F190" s="13">
        <f t="shared" si="40"/>
        <v>0</v>
      </c>
      <c r="G190" s="13">
        <f t="shared" si="40"/>
        <v>0</v>
      </c>
      <c r="H190" s="13">
        <f t="shared" si="40"/>
        <v>0</v>
      </c>
      <c r="I190" s="13">
        <f t="shared" si="40"/>
        <v>0</v>
      </c>
    </row>
    <row r="191" spans="1:9" x14ac:dyDescent="0.45">
      <c r="A191" s="14" t="s">
        <v>126</v>
      </c>
      <c r="B191" s="14"/>
      <c r="C191" s="14"/>
      <c r="D191" s="14"/>
      <c r="E191" s="14"/>
      <c r="F191" s="14"/>
      <c r="G191" s="14"/>
      <c r="H191" s="14"/>
      <c r="I191" s="14"/>
    </row>
    <row r="192" spans="1:9" x14ac:dyDescent="0.45">
      <c r="A192" s="28" t="s">
        <v>127</v>
      </c>
    </row>
    <row r="193" spans="1:9" x14ac:dyDescent="0.45">
      <c r="A193" s="33" t="s">
        <v>100</v>
      </c>
      <c r="B193" s="34">
        <v>0.12</v>
      </c>
      <c r="C193" s="34">
        <v>7.0000000000000007E-2</v>
      </c>
      <c r="D193" s="34">
        <v>0.03</v>
      </c>
      <c r="E193" s="34">
        <v>-0.02</v>
      </c>
      <c r="F193" s="34">
        <v>7.0000000000000007E-2</v>
      </c>
      <c r="G193" s="34">
        <v>-0.09</v>
      </c>
      <c r="H193" s="34">
        <v>0.19</v>
      </c>
      <c r="I193" s="34">
        <v>7.0000000000000007E-2</v>
      </c>
    </row>
    <row r="194" spans="1:9" x14ac:dyDescent="0.45">
      <c r="A194" s="31" t="s">
        <v>113</v>
      </c>
      <c r="B194" s="30">
        <v>0.13</v>
      </c>
      <c r="C194" s="30">
        <v>0.09</v>
      </c>
      <c r="D194" s="30">
        <v>0.04</v>
      </c>
      <c r="E194" s="30">
        <v>-0.04</v>
      </c>
      <c r="F194" s="30">
        <v>0.08</v>
      </c>
      <c r="G194" s="30">
        <v>-7.0000000000000007E-2</v>
      </c>
      <c r="H194" s="30">
        <v>0.25</v>
      </c>
      <c r="I194" s="30">
        <v>0.05</v>
      </c>
    </row>
    <row r="195" spans="1:9" x14ac:dyDescent="0.45">
      <c r="A195" s="31" t="s">
        <v>114</v>
      </c>
      <c r="B195" s="30">
        <v>0.12</v>
      </c>
      <c r="C195" s="30">
        <v>0.08</v>
      </c>
      <c r="D195" s="30">
        <v>0.03</v>
      </c>
      <c r="E195" s="30">
        <v>0.01</v>
      </c>
      <c r="F195" s="30">
        <v>7.0000000000000007E-2</v>
      </c>
      <c r="G195" s="30">
        <v>-0.12</v>
      </c>
      <c r="H195" s="30">
        <v>0.08</v>
      </c>
      <c r="I195" s="30">
        <v>0.09</v>
      </c>
    </row>
    <row r="196" spans="1:9" x14ac:dyDescent="0.45">
      <c r="A196" s="31" t="s">
        <v>115</v>
      </c>
      <c r="B196" s="30">
        <v>-0.05</v>
      </c>
      <c r="C196" s="30">
        <v>-0.13</v>
      </c>
      <c r="D196" s="30">
        <v>-0.1</v>
      </c>
      <c r="E196" s="30">
        <v>-0.08</v>
      </c>
      <c r="F196" s="30">
        <v>0</v>
      </c>
      <c r="G196" s="30">
        <v>-0.14000000000000001</v>
      </c>
      <c r="H196" s="30">
        <v>-0.02</v>
      </c>
      <c r="I196" s="30">
        <v>0.25</v>
      </c>
    </row>
    <row r="197" spans="1:9" x14ac:dyDescent="0.45">
      <c r="A197" s="33" t="s">
        <v>101</v>
      </c>
      <c r="B197" s="34">
        <v>0.16999999999999998</v>
      </c>
      <c r="C197" s="34">
        <v>0.04</v>
      </c>
      <c r="D197" s="34">
        <v>0.1</v>
      </c>
      <c r="E197" s="34">
        <v>0.16</v>
      </c>
      <c r="F197" s="34">
        <v>0.06</v>
      </c>
      <c r="G197" s="34">
        <v>-0.05</v>
      </c>
      <c r="H197" s="34">
        <v>0.23</v>
      </c>
      <c r="I197" s="34">
        <v>0.12</v>
      </c>
    </row>
    <row r="198" spans="1:9" x14ac:dyDescent="0.45">
      <c r="A198" s="31" t="s">
        <v>113</v>
      </c>
      <c r="B198" s="30">
        <v>0.25</v>
      </c>
      <c r="C198" s="30">
        <v>0.1</v>
      </c>
      <c r="D198" s="30">
        <v>7.0000000000000007E-2</v>
      </c>
      <c r="E198" s="30">
        <v>0.13</v>
      </c>
      <c r="F198" s="30">
        <v>7.0000000000000007E-2</v>
      </c>
      <c r="G198" s="30">
        <v>-0.06</v>
      </c>
      <c r="H198" s="30">
        <v>0.18</v>
      </c>
      <c r="I198" s="30">
        <v>0.09</v>
      </c>
    </row>
    <row r="199" spans="1:9" x14ac:dyDescent="0.45">
      <c r="A199" s="31" t="s">
        <v>114</v>
      </c>
      <c r="B199" s="30">
        <v>1.999999999999999E-2</v>
      </c>
      <c r="C199" s="30">
        <v>-2.0000000000000004E-2</v>
      </c>
      <c r="D199" s="30">
        <v>0.16999999999999998</v>
      </c>
      <c r="E199" s="30">
        <v>0.23</v>
      </c>
      <c r="F199" s="30">
        <v>0.05</v>
      </c>
      <c r="G199" s="30">
        <v>-0.01</v>
      </c>
      <c r="H199" s="30">
        <v>0.31</v>
      </c>
      <c r="I199" s="30">
        <v>0.16</v>
      </c>
    </row>
    <row r="200" spans="1:9" x14ac:dyDescent="0.45">
      <c r="A200" s="31" t="s">
        <v>115</v>
      </c>
      <c r="B200" s="30">
        <v>0.13</v>
      </c>
      <c r="C200" s="30">
        <v>-0.11</v>
      </c>
      <c r="D200" s="30">
        <v>0.04</v>
      </c>
      <c r="E200" s="30">
        <v>0.11</v>
      </c>
      <c r="F200" s="30">
        <v>0.01</v>
      </c>
      <c r="G200" s="30">
        <v>-7.0000000000000007E-2</v>
      </c>
      <c r="H200" s="30">
        <v>0.22</v>
      </c>
      <c r="I200" s="30">
        <v>0.17</v>
      </c>
    </row>
    <row r="201" spans="1:9" x14ac:dyDescent="0.45">
      <c r="A201" s="33" t="s">
        <v>102</v>
      </c>
      <c r="B201" s="34">
        <v>0.18</v>
      </c>
      <c r="C201" s="34">
        <v>0.23</v>
      </c>
      <c r="D201" s="34">
        <v>0.12</v>
      </c>
      <c r="E201" s="34">
        <v>0.21</v>
      </c>
      <c r="F201" s="34">
        <v>0.21</v>
      </c>
      <c r="G201" s="34">
        <v>0.08</v>
      </c>
      <c r="H201" s="34">
        <v>0.24</v>
      </c>
      <c r="I201" s="34">
        <v>-0.13</v>
      </c>
    </row>
    <row r="202" spans="1:9" x14ac:dyDescent="0.45">
      <c r="A202" s="31" t="s">
        <v>113</v>
      </c>
      <c r="B202" s="30">
        <v>0.26</v>
      </c>
      <c r="C202" s="30">
        <v>0.28999999999999998</v>
      </c>
      <c r="D202" s="30">
        <v>0.12</v>
      </c>
      <c r="E202" s="30">
        <v>0.2</v>
      </c>
      <c r="F202" s="30">
        <v>0.22</v>
      </c>
      <c r="G202" s="30">
        <v>0.09</v>
      </c>
      <c r="H202" s="30">
        <v>0.24</v>
      </c>
      <c r="I202" s="30">
        <v>-0.1</v>
      </c>
    </row>
    <row r="203" spans="1:9" x14ac:dyDescent="0.45">
      <c r="A203" s="31" t="s">
        <v>114</v>
      </c>
      <c r="B203" s="30">
        <v>0.06</v>
      </c>
      <c r="C203" s="30">
        <v>0.14000000000000001</v>
      </c>
      <c r="D203" s="30">
        <v>0.13</v>
      </c>
      <c r="E203" s="30">
        <v>0.27</v>
      </c>
      <c r="F203" s="30">
        <v>0.2</v>
      </c>
      <c r="G203" s="30">
        <v>0.05</v>
      </c>
      <c r="H203" s="30">
        <v>0.24</v>
      </c>
      <c r="I203" s="30">
        <v>-0.21</v>
      </c>
    </row>
    <row r="204" spans="1:9" x14ac:dyDescent="0.45">
      <c r="A204" s="31" t="s">
        <v>115</v>
      </c>
      <c r="B204" s="30">
        <v>0</v>
      </c>
      <c r="C204" s="30">
        <v>0.04</v>
      </c>
      <c r="D204" s="30">
        <v>-0.02</v>
      </c>
      <c r="E204" s="30">
        <v>0.01</v>
      </c>
      <c r="F204" s="30">
        <v>0.06</v>
      </c>
      <c r="G204" s="30">
        <v>7.0000000000000007E-2</v>
      </c>
      <c r="H204" s="30">
        <v>0.32</v>
      </c>
      <c r="I204" s="30">
        <v>-0.06</v>
      </c>
    </row>
    <row r="205" spans="1:9" x14ac:dyDescent="0.45">
      <c r="A205" s="33" t="s">
        <v>106</v>
      </c>
      <c r="B205" s="34">
        <v>-0.02</v>
      </c>
      <c r="C205" s="34">
        <v>0.15</v>
      </c>
      <c r="D205" s="34">
        <v>0.17</v>
      </c>
      <c r="E205" s="34">
        <v>0.09</v>
      </c>
      <c r="F205" s="34">
        <v>0.02</v>
      </c>
      <c r="G205" s="34">
        <v>-0.04</v>
      </c>
      <c r="H205" s="34">
        <v>0.06</v>
      </c>
      <c r="I205" s="34">
        <v>0.16</v>
      </c>
    </row>
    <row r="206" spans="1:9" x14ac:dyDescent="0.45">
      <c r="A206" s="31" t="s">
        <v>113</v>
      </c>
      <c r="B206" s="30">
        <v>0.11</v>
      </c>
      <c r="C206" s="30">
        <v>0.26</v>
      </c>
      <c r="D206" s="30">
        <v>0.17</v>
      </c>
      <c r="E206" s="30">
        <v>0.09</v>
      </c>
      <c r="F206" s="30">
        <v>0.01</v>
      </c>
      <c r="G206" s="30">
        <v>-0.05</v>
      </c>
      <c r="H206" s="30">
        <v>0.06</v>
      </c>
      <c r="I206" s="30">
        <v>0.17</v>
      </c>
    </row>
    <row r="207" spans="1:9" x14ac:dyDescent="0.45">
      <c r="A207" s="31" t="s">
        <v>114</v>
      </c>
      <c r="B207" s="30">
        <v>-0.17</v>
      </c>
      <c r="C207" s="30">
        <v>-0.01</v>
      </c>
      <c r="D207" s="30">
        <v>0.21</v>
      </c>
      <c r="E207" s="30">
        <v>0.14000000000000001</v>
      </c>
      <c r="F207" s="30">
        <v>0.04</v>
      </c>
      <c r="G207" s="30">
        <v>-0.02</v>
      </c>
      <c r="H207" s="30">
        <v>0.09</v>
      </c>
      <c r="I207" s="30">
        <v>0.12</v>
      </c>
    </row>
    <row r="208" spans="1:9" x14ac:dyDescent="0.45">
      <c r="A208" s="31" t="s">
        <v>115</v>
      </c>
      <c r="B208" s="30">
        <v>-0.15</v>
      </c>
      <c r="C208" s="30">
        <v>-0.03</v>
      </c>
      <c r="D208" s="30">
        <v>0.03</v>
      </c>
      <c r="E208" s="30">
        <v>-0.09</v>
      </c>
      <c r="F208" s="30">
        <v>-0.03</v>
      </c>
      <c r="G208" s="30">
        <v>-0.1</v>
      </c>
      <c r="H208" s="30">
        <v>-0.11</v>
      </c>
      <c r="I208" s="30">
        <v>0.28000000000000003</v>
      </c>
    </row>
    <row r="209" spans="1:9" x14ac:dyDescent="0.45">
      <c r="A209" s="33" t="s">
        <v>199</v>
      </c>
      <c r="B209" s="34">
        <v>-0.01</v>
      </c>
      <c r="C209" s="34">
        <v>-0.05</v>
      </c>
      <c r="D209" s="34">
        <v>0.08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45">
      <c r="A210" s="31" t="s">
        <v>113</v>
      </c>
      <c r="B210" s="30">
        <v>0</v>
      </c>
      <c r="C210" s="30">
        <v>-0.04</v>
      </c>
      <c r="D210" s="30">
        <v>0.11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45">
      <c r="A211" s="31" t="s">
        <v>114</v>
      </c>
      <c r="B211" s="30">
        <v>-0.04</v>
      </c>
      <c r="C211" s="30">
        <v>-7.0000000000000007E-2</v>
      </c>
      <c r="D211" s="30">
        <v>0.02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45">
      <c r="A212" s="31" t="s">
        <v>115</v>
      </c>
      <c r="B212" s="30">
        <v>-0.04</v>
      </c>
      <c r="C212" s="30">
        <v>-0.08</v>
      </c>
      <c r="D212" s="30">
        <v>-0.02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45">
      <c r="A213" s="33" t="s">
        <v>107</v>
      </c>
      <c r="B213" s="34">
        <v>-0.08</v>
      </c>
      <c r="C213" s="34">
        <v>-0.37</v>
      </c>
      <c r="D213" s="34">
        <v>0</v>
      </c>
      <c r="E213" s="34">
        <v>0.21</v>
      </c>
      <c r="F213" s="34">
        <v>-0.52</v>
      </c>
      <c r="G213" s="34">
        <v>-0.28999999999999998</v>
      </c>
      <c r="H213" s="34">
        <v>-0.17</v>
      </c>
      <c r="I213" s="34">
        <v>3.02</v>
      </c>
    </row>
    <row r="214" spans="1:9" x14ac:dyDescent="0.45">
      <c r="A214" s="35" t="s">
        <v>103</v>
      </c>
      <c r="B214" s="37">
        <v>0.1</v>
      </c>
      <c r="C214" s="37">
        <v>0.06</v>
      </c>
      <c r="D214" s="37">
        <v>0.06</v>
      </c>
      <c r="E214" s="37">
        <v>7.0000000000000007E-2</v>
      </c>
      <c r="F214" s="37">
        <v>0.08</v>
      </c>
      <c r="G214" s="37">
        <v>-0.04</v>
      </c>
      <c r="H214" s="37">
        <v>0.17</v>
      </c>
      <c r="I214" s="37">
        <v>0.06</v>
      </c>
    </row>
    <row r="215" spans="1:9" x14ac:dyDescent="0.45">
      <c r="A215" s="33" t="s">
        <v>104</v>
      </c>
      <c r="B215" s="34">
        <v>0.18</v>
      </c>
      <c r="C215" s="34">
        <v>-0.01</v>
      </c>
      <c r="D215" s="34">
        <v>0.04</v>
      </c>
      <c r="E215" s="63">
        <v>-0.08</v>
      </c>
      <c r="F215" s="34">
        <v>0.01</v>
      </c>
      <c r="G215" s="34">
        <v>-0.03</v>
      </c>
      <c r="H215" s="34">
        <v>0.19</v>
      </c>
      <c r="I215" s="34">
        <v>7.0000000000000007E-2</v>
      </c>
    </row>
    <row r="216" spans="1:9" x14ac:dyDescent="0.45">
      <c r="A216" s="31" t="s">
        <v>113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0">
        <v>-0.01</v>
      </c>
      <c r="H216" s="30">
        <v>0.21</v>
      </c>
      <c r="I216" s="30">
        <v>0.06</v>
      </c>
    </row>
    <row r="217" spans="1:9" x14ac:dyDescent="0.45">
      <c r="A217" s="31" t="s">
        <v>114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0">
        <v>-0.25</v>
      </c>
      <c r="H217" s="30">
        <v>0.17</v>
      </c>
      <c r="I217" s="30">
        <v>-0.03</v>
      </c>
    </row>
    <row r="218" spans="1:9" x14ac:dyDescent="0.45">
      <c r="A218" s="31" t="s">
        <v>115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0">
        <v>0.04</v>
      </c>
      <c r="H218" s="30">
        <v>0.16</v>
      </c>
      <c r="I218" s="30">
        <v>-0.16</v>
      </c>
    </row>
    <row r="219" spans="1:9" x14ac:dyDescent="0.45">
      <c r="A219" s="31" t="s">
        <v>121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0">
        <v>-0.15</v>
      </c>
      <c r="H219" s="30">
        <v>-0.01</v>
      </c>
      <c r="I219" s="30">
        <v>0.42</v>
      </c>
    </row>
    <row r="220" spans="1:9" x14ac:dyDescent="0.45">
      <c r="A220" s="29" t="s">
        <v>108</v>
      </c>
      <c r="B220" s="30">
        <v>0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</row>
    <row r="221" spans="1:9" ht="14.65" thickBot="1" x14ac:dyDescent="0.5">
      <c r="A221" s="32" t="s">
        <v>105</v>
      </c>
      <c r="B221" s="36">
        <v>0.1</v>
      </c>
      <c r="C221" s="36">
        <v>0.06</v>
      </c>
      <c r="D221" s="36">
        <v>0.06</v>
      </c>
      <c r="E221" s="36">
        <v>0.06</v>
      </c>
      <c r="F221" s="36">
        <v>7.0000000000000007E-2</v>
      </c>
      <c r="G221" s="36">
        <v>-0.04</v>
      </c>
      <c r="H221" s="36">
        <v>0.17</v>
      </c>
      <c r="I221" s="36">
        <v>0.06</v>
      </c>
    </row>
    <row r="222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A24" zoomScale="85" zoomScaleNormal="85" workbookViewId="0">
      <selection activeCell="G55" sqref="G55"/>
    </sheetView>
  </sheetViews>
  <sheetFormatPr defaultRowHeight="14.25" x14ac:dyDescent="0.45"/>
  <cols>
    <col min="1" max="1" width="48.796875" customWidth="1"/>
    <col min="2" max="14" width="11.796875" customWidth="1"/>
    <col min="15" max="15" width="9.53125" bestFit="1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4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41" t="s">
        <v>139</v>
      </c>
      <c r="B3" s="1">
        <f>Historicals!B2</f>
        <v>30601</v>
      </c>
      <c r="C3" s="1">
        <f>Historicals!C2</f>
        <v>32376</v>
      </c>
      <c r="D3" s="1">
        <f>Historicals!D2</f>
        <v>34350</v>
      </c>
      <c r="E3" s="1">
        <f>Historicals!E2</f>
        <v>36397</v>
      </c>
      <c r="F3" s="1">
        <f>Historicals!F2</f>
        <v>39117</v>
      </c>
      <c r="G3" s="1">
        <f>Historicals!G2</f>
        <v>37403</v>
      </c>
      <c r="H3" s="1">
        <f>Historicals!H2</f>
        <v>44538</v>
      </c>
      <c r="I3" s="1">
        <f>Historicals!I2</f>
        <v>46710</v>
      </c>
      <c r="J3" s="64">
        <f>(1+((I4/100)*100))*I3</f>
        <v>48987.922672773813</v>
      </c>
      <c r="K3" s="64">
        <f>(1+((J4/100)*100))*J3</f>
        <v>51376.933585820305</v>
      </c>
      <c r="L3" s="64">
        <f t="shared" ref="L3:N3" si="2">(1+((K4/100)*100))*K3</f>
        <v>53882.450217649348</v>
      </c>
      <c r="M3" s="64">
        <f t="shared" si="2"/>
        <v>56510.154242812903</v>
      </c>
      <c r="N3" s="64">
        <f t="shared" si="2"/>
        <v>59266.004416044518</v>
      </c>
      <c r="O3" s="48">
        <f>N23+N27+N31+N21</f>
        <v>36706</v>
      </c>
    </row>
    <row r="4" spans="1:15" x14ac:dyDescent="0.4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>+IFERROR(J3/I3-1,"nm")</f>
        <v>4.8767344739323759E-2</v>
      </c>
      <c r="K4" s="47">
        <f>+IFERROR(K3/J3-1,"nm")</f>
        <v>4.8767344739323759E-2</v>
      </c>
      <c r="L4" s="47">
        <f>+IFERROR(L3/K3-1,"nm")</f>
        <v>4.8767344739323759E-2</v>
      </c>
      <c r="M4" s="47">
        <f t="shared" ref="M4:N4" si="4">+IFERROR(M3/L3-1,"nm")</f>
        <v>4.8767344739323759E-2</v>
      </c>
      <c r="N4" s="47">
        <f t="shared" si="4"/>
        <v>4.8767344739323759E-2</v>
      </c>
      <c r="O4" s="1"/>
    </row>
    <row r="5" spans="1:15" x14ac:dyDescent="0.45">
      <c r="A5" s="41" t="s">
        <v>130</v>
      </c>
      <c r="B5" s="1">
        <v>4839</v>
      </c>
      <c r="C5" s="1">
        <v>5291</v>
      </c>
      <c r="D5" s="1">
        <v>5651</v>
      </c>
      <c r="E5" s="1">
        <v>5126</v>
      </c>
      <c r="F5" s="1">
        <v>5555</v>
      </c>
      <c r="G5" s="1">
        <v>3697</v>
      </c>
      <c r="H5" s="1">
        <v>7667</v>
      </c>
      <c r="I5" s="1">
        <v>7573</v>
      </c>
      <c r="J5" s="64">
        <f>(1+((I6/100)*100))*I5</f>
        <v>7480.152471631669</v>
      </c>
      <c r="K5" s="64">
        <f t="shared" ref="K5:N5" si="5">(1+((J6/100)*100))*J5</f>
        <v>7388.4432852049868</v>
      </c>
      <c r="L5" s="64">
        <f t="shared" si="5"/>
        <v>7297.8584842646887</v>
      </c>
      <c r="M5" s="64">
        <f t="shared" si="5"/>
        <v>7208.3842834663483</v>
      </c>
      <c r="N5" s="64">
        <f t="shared" si="5"/>
        <v>7120.0070664784998</v>
      </c>
      <c r="O5" s="48">
        <f>N35</f>
        <v>150</v>
      </c>
    </row>
    <row r="6" spans="1:15" x14ac:dyDescent="0.45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-1.2260336507108338E-2</v>
      </c>
      <c r="K6" s="47">
        <f t="shared" si="7"/>
        <v>-1.2260336507108338E-2</v>
      </c>
      <c r="L6" s="47">
        <f t="shared" si="7"/>
        <v>-1.2260336507108338E-2</v>
      </c>
      <c r="M6" s="47">
        <f t="shared" si="7"/>
        <v>-1.2260336507108338E-2</v>
      </c>
      <c r="N6" s="47">
        <f t="shared" si="7"/>
        <v>-1.2260336507108338E-2</v>
      </c>
      <c r="O6" s="1"/>
    </row>
    <row r="7" spans="1:15" x14ac:dyDescent="0.45">
      <c r="A7" s="42" t="s">
        <v>131</v>
      </c>
      <c r="B7" s="65">
        <f>(B5/B3)*100</f>
        <v>15.813208718669324</v>
      </c>
      <c r="C7" s="65">
        <f t="shared" ref="C7:N7" si="8">(C5/C3)*100</f>
        <v>16.342352359772672</v>
      </c>
      <c r="D7" s="65">
        <f t="shared" si="8"/>
        <v>16.451237263464339</v>
      </c>
      <c r="E7" s="65">
        <f t="shared" si="8"/>
        <v>14.083578316894249</v>
      </c>
      <c r="F7" s="65">
        <f t="shared" si="8"/>
        <v>14.200986783240024</v>
      </c>
      <c r="G7" s="65">
        <f t="shared" si="8"/>
        <v>9.8842338849824873</v>
      </c>
      <c r="H7" s="65">
        <f t="shared" si="8"/>
        <v>17.214513449189457</v>
      </c>
      <c r="I7" s="65">
        <f t="shared" si="8"/>
        <v>16.212802397773494</v>
      </c>
      <c r="J7" s="65">
        <f t="shared" si="8"/>
        <v>15.269380825958025</v>
      </c>
      <c r="K7" s="65">
        <f t="shared" si="8"/>
        <v>14.380856873957438</v>
      </c>
      <c r="L7" s="65">
        <f t="shared" si="8"/>
        <v>13.544036054014216</v>
      </c>
      <c r="M7" s="65">
        <f t="shared" si="8"/>
        <v>12.755909765337666</v>
      </c>
      <c r="N7" s="65">
        <f t="shared" si="8"/>
        <v>12.013644477357358</v>
      </c>
      <c r="O7" s="1"/>
    </row>
    <row r="8" spans="1:15" x14ac:dyDescent="0.45">
      <c r="A8" s="41" t="s">
        <v>132</v>
      </c>
      <c r="B8" s="1">
        <f>Historicals!B189</f>
        <v>606</v>
      </c>
      <c r="C8" s="1">
        <f>Historicals!C189</f>
        <v>649</v>
      </c>
      <c r="D8" s="1">
        <f>Historicals!D189</f>
        <v>706</v>
      </c>
      <c r="E8" s="1">
        <f>Historicals!E189</f>
        <v>747</v>
      </c>
      <c r="F8" s="1">
        <f>Historicals!F189</f>
        <v>705</v>
      </c>
      <c r="G8" s="1">
        <f>Historicals!G189</f>
        <v>721</v>
      </c>
      <c r="H8" s="1">
        <f>Historicals!H189</f>
        <v>744</v>
      </c>
      <c r="I8" s="1">
        <f>Historicals!I189</f>
        <v>717</v>
      </c>
      <c r="J8" s="64">
        <f>(1+((I9/100)*100))*I8</f>
        <v>690.97983870967744</v>
      </c>
      <c r="K8" s="64">
        <f t="shared" ref="K8:N8" si="9">(1+((J9/100)*100))*J8</f>
        <v>665.90395746618105</v>
      </c>
      <c r="L8" s="64">
        <f t="shared" si="9"/>
        <v>641.73808804200507</v>
      </c>
      <c r="M8" s="64">
        <f t="shared" si="9"/>
        <v>618.4492058146742</v>
      </c>
      <c r="N8" s="64">
        <f t="shared" si="9"/>
        <v>596.00548463591576</v>
      </c>
      <c r="O8" s="48">
        <f>N38</f>
        <v>222.00000000000006</v>
      </c>
    </row>
    <row r="9" spans="1:15" x14ac:dyDescent="0.4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-3.6290322580645129E-2</v>
      </c>
      <c r="K9" s="47">
        <f t="shared" si="11"/>
        <v>-3.629032258064524E-2</v>
      </c>
      <c r="L9" s="47">
        <f t="shared" si="11"/>
        <v>-3.629032258064524E-2</v>
      </c>
      <c r="M9" s="47">
        <f t="shared" si="11"/>
        <v>-3.629032258064524E-2</v>
      </c>
      <c r="N9" s="47">
        <f t="shared" si="11"/>
        <v>-3.6290322580645351E-2</v>
      </c>
      <c r="O9" s="1"/>
    </row>
    <row r="10" spans="1:15" x14ac:dyDescent="0.45">
      <c r="A10" s="42" t="s">
        <v>133</v>
      </c>
      <c r="B10" s="65">
        <f>(B8/B3)*100</f>
        <v>1.9803274402797295</v>
      </c>
      <c r="C10" s="65">
        <f t="shared" ref="C10:N10" si="12">(C8/C3)*100</f>
        <v>2.0045712873733632</v>
      </c>
      <c r="D10" s="65">
        <f t="shared" si="12"/>
        <v>2.0553129548762739</v>
      </c>
      <c r="E10" s="65">
        <f t="shared" si="12"/>
        <v>2.0523669533203286</v>
      </c>
      <c r="F10" s="65">
        <f t="shared" si="12"/>
        <v>1.8022854513382929</v>
      </c>
      <c r="G10" s="65">
        <f t="shared" si="12"/>
        <v>1.9276528620698876</v>
      </c>
      <c r="H10" s="65">
        <f t="shared" si="12"/>
        <v>1.6704836319547354</v>
      </c>
      <c r="I10" s="65">
        <f t="shared" si="12"/>
        <v>1.5350032113037893</v>
      </c>
      <c r="J10" s="65">
        <f t="shared" si="12"/>
        <v>1.410510593244048</v>
      </c>
      <c r="K10" s="65">
        <f t="shared" si="12"/>
        <v>1.2961146393718721</v>
      </c>
      <c r="L10" s="65">
        <f t="shared" si="12"/>
        <v>1.1909964848476804</v>
      </c>
      <c r="M10" s="65">
        <f t="shared" si="12"/>
        <v>1.0944036768282757</v>
      </c>
      <c r="N10" s="65">
        <f t="shared" si="12"/>
        <v>1.0056447882870352</v>
      </c>
      <c r="O10" s="1"/>
    </row>
    <row r="11" spans="1:15" x14ac:dyDescent="0.45">
      <c r="A11" s="41" t="s">
        <v>134</v>
      </c>
      <c r="B11" s="1">
        <f>Historicals!B153</f>
        <v>4233</v>
      </c>
      <c r="C11" s="1">
        <f>Historicals!C153</f>
        <v>4642</v>
      </c>
      <c r="D11" s="1">
        <f>Historicals!D153</f>
        <v>4945</v>
      </c>
      <c r="E11" s="1">
        <f>Historicals!E153</f>
        <v>4379</v>
      </c>
      <c r="F11" s="1">
        <f>Historicals!F153</f>
        <v>4850</v>
      </c>
      <c r="G11" s="1">
        <f>Historicals!G153</f>
        <v>2976</v>
      </c>
      <c r="H11" s="1">
        <f>Historicals!H153</f>
        <v>6923</v>
      </c>
      <c r="I11" s="1">
        <f>Historicals!I153</f>
        <v>6856</v>
      </c>
      <c r="J11" s="64">
        <f>(1+((I12/100)*100))*I11</f>
        <v>6789.648418315759</v>
      </c>
      <c r="K11" s="64">
        <f t="shared" ref="K11:N11" si="13">(1+((J12/100)*100))*J11</f>
        <v>6723.9389796291844</v>
      </c>
      <c r="L11" s="64">
        <f t="shared" si="13"/>
        <v>6658.865469353992</v>
      </c>
      <c r="M11" s="64">
        <f t="shared" si="13"/>
        <v>6594.4217330479514</v>
      </c>
      <c r="N11" s="64">
        <f t="shared" si="13"/>
        <v>6530.6016758308178</v>
      </c>
      <c r="O11" s="48">
        <f>N42</f>
        <v>-72.000000000000057</v>
      </c>
    </row>
    <row r="12" spans="1:15" x14ac:dyDescent="0.45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>+IFERROR(J11/I11-1,"nm")</f>
        <v>-9.67788530983682E-3</v>
      </c>
      <c r="K12" s="47">
        <f t="shared" ref="K12:N12" si="15">+IFERROR(K11/J11-1,"nm")</f>
        <v>-9.67788530983682E-3</v>
      </c>
      <c r="L12" s="47">
        <f t="shared" si="15"/>
        <v>-9.67788530983682E-3</v>
      </c>
      <c r="M12" s="47">
        <f t="shared" si="15"/>
        <v>-9.67788530983682E-3</v>
      </c>
      <c r="N12" s="47">
        <f t="shared" si="15"/>
        <v>-9.67788530983682E-3</v>
      </c>
      <c r="O12" s="1"/>
    </row>
    <row r="13" spans="1:15" x14ac:dyDescent="0.45">
      <c r="A13" s="42" t="s">
        <v>131</v>
      </c>
      <c r="B13" s="65">
        <f>(B11/B3)*100</f>
        <v>13.832881278389594</v>
      </c>
      <c r="C13" s="65">
        <f t="shared" ref="C13:N13" si="16">(C11/C3)*100</f>
        <v>14.337781072399308</v>
      </c>
      <c r="D13" s="65">
        <f t="shared" si="16"/>
        <v>14.395924308588064</v>
      </c>
      <c r="E13" s="65">
        <f t="shared" si="16"/>
        <v>12.03121136357392</v>
      </c>
      <c r="F13" s="65">
        <f t="shared" si="16"/>
        <v>12.39870133190173</v>
      </c>
      <c r="G13" s="65">
        <f t="shared" si="16"/>
        <v>7.9565810229126015</v>
      </c>
      <c r="H13" s="65">
        <f t="shared" si="16"/>
        <v>15.544029817234719</v>
      </c>
      <c r="I13" s="65">
        <f t="shared" si="16"/>
        <v>14.677799186469706</v>
      </c>
      <c r="J13" s="65">
        <f t="shared" si="16"/>
        <v>13.85984146269845</v>
      </c>
      <c r="K13" s="65">
        <f t="shared" si="16"/>
        <v>13.087466515294224</v>
      </c>
      <c r="L13" s="65">
        <f t="shared" si="16"/>
        <v>12.358134128007531</v>
      </c>
      <c r="M13" s="65">
        <f t="shared" si="16"/>
        <v>11.669445644605803</v>
      </c>
      <c r="N13" s="65">
        <f t="shared" si="16"/>
        <v>11.019136080081097</v>
      </c>
      <c r="O13" s="1"/>
    </row>
    <row r="14" spans="1:15" x14ac:dyDescent="0.45">
      <c r="A14" s="41" t="s">
        <v>135</v>
      </c>
      <c r="B14" s="1">
        <f>Historicals!B177</f>
        <v>963</v>
      </c>
      <c r="C14" s="1">
        <f>Historicals!C177</f>
        <v>1143</v>
      </c>
      <c r="D14" s="1">
        <f>Historicals!D177</f>
        <v>1105</v>
      </c>
      <c r="E14" s="1">
        <f>Historicals!E177</f>
        <v>1028</v>
      </c>
      <c r="F14" s="1">
        <f>Historicals!F177</f>
        <v>1119</v>
      </c>
      <c r="G14" s="1">
        <f>Historicals!G177</f>
        <v>1086</v>
      </c>
      <c r="H14" s="1">
        <f>Historicals!H177</f>
        <v>695</v>
      </c>
      <c r="I14" s="1">
        <f>Historicals!I177</f>
        <v>758</v>
      </c>
      <c r="J14" s="64">
        <f>(1+((I15/100)*100))*I14</f>
        <v>826.71079136690651</v>
      </c>
      <c r="K14" s="64">
        <f t="shared" ref="K14:N14" si="17">(1+((J15/100)*100))*J14</f>
        <v>901.65004295843903</v>
      </c>
      <c r="L14" s="64">
        <f t="shared" si="17"/>
        <v>983.38234901078681</v>
      </c>
      <c r="M14" s="64">
        <f t="shared" si="17"/>
        <v>1072.5234828060093</v>
      </c>
      <c r="N14" s="64">
        <f t="shared" si="17"/>
        <v>1169.7450359236764</v>
      </c>
      <c r="O14" s="66">
        <f>N45</f>
        <v>2925</v>
      </c>
    </row>
    <row r="15" spans="1:15" x14ac:dyDescent="0.45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>+IFERROR(J14/I14-1,"nm")</f>
        <v>9.0647482014388547E-2</v>
      </c>
      <c r="K15" s="47">
        <f t="shared" ref="K15:N15" si="19">+IFERROR(K14/J14-1,"nm")</f>
        <v>9.0647482014388547E-2</v>
      </c>
      <c r="L15" s="47">
        <f t="shared" si="19"/>
        <v>9.0647482014388547E-2</v>
      </c>
      <c r="M15" s="47">
        <f t="shared" si="19"/>
        <v>9.0647482014388547E-2</v>
      </c>
      <c r="N15" s="47">
        <f t="shared" si="19"/>
        <v>9.0647482014388547E-2</v>
      </c>
      <c r="O15" s="1"/>
    </row>
    <row r="16" spans="1:15" x14ac:dyDescent="0.45">
      <c r="A16" s="42" t="s">
        <v>133</v>
      </c>
      <c r="B16" s="65">
        <f>(B14/B3)*100</f>
        <v>3.1469559818306592</v>
      </c>
      <c r="C16" s="65">
        <f t="shared" ref="C16:N16" si="20">(C14/C3)*100</f>
        <v>3.5303928836174947</v>
      </c>
      <c r="D16" s="65">
        <f t="shared" si="20"/>
        <v>3.2168850072780204</v>
      </c>
      <c r="E16" s="65">
        <f t="shared" si="20"/>
        <v>2.8244086051048165</v>
      </c>
      <c r="F16" s="65">
        <f t="shared" si="20"/>
        <v>2.8606488227624816</v>
      </c>
      <c r="G16" s="65">
        <f t="shared" si="20"/>
        <v>2.9035104136031871</v>
      </c>
      <c r="H16" s="65">
        <f t="shared" si="20"/>
        <v>1.5604652207104046</v>
      </c>
      <c r="I16" s="65">
        <f t="shared" si="20"/>
        <v>1.6227788482123744</v>
      </c>
      <c r="J16" s="65">
        <f t="shared" si="20"/>
        <v>1.6875808286240528</v>
      </c>
      <c r="K16" s="65">
        <f t="shared" si="20"/>
        <v>1.754970528656246</v>
      </c>
      <c r="L16" s="65">
        <f t="shared" si="20"/>
        <v>1.8250512830032313</v>
      </c>
      <c r="M16" s="65">
        <f t="shared" si="20"/>
        <v>1.8979305527951473</v>
      </c>
      <c r="N16" s="65">
        <f t="shared" si="20"/>
        <v>1.9737200903778194</v>
      </c>
      <c r="O16" s="1"/>
    </row>
    <row r="17" spans="1:15" x14ac:dyDescent="0.45">
      <c r="A17" s="9" t="s">
        <v>141</v>
      </c>
      <c r="B17" s="1">
        <f>Historicals!B32</f>
        <v>3011</v>
      </c>
      <c r="C17" s="1">
        <f>Historicals!C32</f>
        <v>3520</v>
      </c>
      <c r="D17" s="1">
        <f>Historicals!D32</f>
        <v>3989</v>
      </c>
      <c r="E17" s="1">
        <f>Historicals!E32</f>
        <v>4454</v>
      </c>
      <c r="F17" s="1">
        <f>Historicals!F32</f>
        <v>4744</v>
      </c>
      <c r="G17" s="1">
        <f>Historicals!G32</f>
        <v>4866</v>
      </c>
      <c r="H17" s="1">
        <f>Historicals!H32</f>
        <v>4904</v>
      </c>
      <c r="I17" s="1">
        <f>Historicals!I32</f>
        <v>4791</v>
      </c>
      <c r="J17" s="64">
        <f>(1+((I18/100)*100))*I17</f>
        <v>4680.6037928221858</v>
      </c>
      <c r="K17" s="64">
        <f t="shared" ref="K17:N17" si="21">(1+((J18/100)*100))*J17</f>
        <v>4572.7513807934529</v>
      </c>
      <c r="L17" s="64">
        <f t="shared" si="21"/>
        <v>4467.3841487319396</v>
      </c>
      <c r="M17" s="64">
        <f t="shared" si="21"/>
        <v>4364.4448320910933</v>
      </c>
      <c r="N17" s="64">
        <f t="shared" si="21"/>
        <v>4263.8774858377701</v>
      </c>
      <c r="O17" s="48">
        <f>N48</f>
        <v>669.00000000000011</v>
      </c>
    </row>
    <row r="18" spans="1:15" x14ac:dyDescent="0.45">
      <c r="A18" s="42" t="s">
        <v>129</v>
      </c>
      <c r="B18" s="47" t="str">
        <f t="shared" ref="B18" si="22">+IFERROR(B17/A17-1,"nm")</f>
        <v>nm</v>
      </c>
      <c r="C18" s="47">
        <f t="shared" ref="C18" si="23">+IFERROR(C17/B17-1,"nm")</f>
        <v>0.16904682829624718</v>
      </c>
      <c r="D18" s="47">
        <f t="shared" ref="D18" si="24">+IFERROR(D17/C17-1,"nm")</f>
        <v>0.13323863636363642</v>
      </c>
      <c r="E18" s="47">
        <f t="shared" ref="E18" si="25">+IFERROR(E17/D17-1,"nm")</f>
        <v>0.11657056906492858</v>
      </c>
      <c r="F18" s="47">
        <f t="shared" ref="F18" si="26">+IFERROR(F17/E17-1,"nm")</f>
        <v>6.5110013471037176E-2</v>
      </c>
      <c r="G18" s="47">
        <f t="shared" ref="G18" si="27">+IFERROR(G17/F17-1,"nm")</f>
        <v>2.5716694772343951E-2</v>
      </c>
      <c r="H18" s="47">
        <f t="shared" ref="H18" si="28">+IFERROR(H17/G17-1,"nm")</f>
        <v>7.8092889436909285E-3</v>
      </c>
      <c r="I18" s="47">
        <f t="shared" ref="I18" si="29">+IFERROR(I17/H17-1,"nm")</f>
        <v>-2.3042414355628038E-2</v>
      </c>
      <c r="J18" s="47">
        <f t="shared" ref="J18:N18" si="30">+IFERROR(J17/I17-1,"nm")</f>
        <v>-2.3042414355628038E-2</v>
      </c>
      <c r="K18" s="47">
        <f t="shared" si="30"/>
        <v>-2.3042414355628038E-2</v>
      </c>
      <c r="L18" s="47">
        <f t="shared" si="30"/>
        <v>-2.3042414355628149E-2</v>
      </c>
      <c r="M18" s="47">
        <f t="shared" si="30"/>
        <v>-2.3042414355628149E-2</v>
      </c>
      <c r="N18" s="47">
        <f t="shared" si="30"/>
        <v>-2.304241435562826E-2</v>
      </c>
      <c r="O18" s="1"/>
    </row>
    <row r="19" spans="1:15" x14ac:dyDescent="0.45">
      <c r="A19" s="42" t="s">
        <v>133</v>
      </c>
      <c r="B19" s="47">
        <f>+IFERROR(B17/B$3,"nm")</f>
        <v>9.8395477271984569E-2</v>
      </c>
      <c r="C19" s="47">
        <f t="shared" ref="C19:I19" si="31">+IFERROR(C17/C$3,"nm")</f>
        <v>0.10872251050160613</v>
      </c>
      <c r="D19" s="47">
        <f t="shared" si="31"/>
        <v>0.11612809315866085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ref="J19:N19" si="32">+IFERROR(J17/J$3,"nm")</f>
        <v>9.5546076205095781E-2</v>
      </c>
      <c r="K19" s="47">
        <f t="shared" si="32"/>
        <v>8.9003976330255377E-2</v>
      </c>
      <c r="L19" s="47">
        <f t="shared" si="32"/>
        <v>8.29098181446217E-2</v>
      </c>
      <c r="M19" s="47">
        <f t="shared" si="32"/>
        <v>7.7232930799267352E-2</v>
      </c>
      <c r="N19" s="47">
        <f t="shared" si="32"/>
        <v>7.1944743497563191E-2</v>
      </c>
      <c r="O19" s="1"/>
    </row>
    <row r="20" spans="1:15" x14ac:dyDescent="0.45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45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3">+SUM(K23+K27+K31)</f>
        <v>18353</v>
      </c>
      <c r="L21" s="9">
        <f t="shared" si="33"/>
        <v>18353</v>
      </c>
      <c r="M21" s="9">
        <f t="shared" si="33"/>
        <v>18353</v>
      </c>
      <c r="N21" s="9">
        <f t="shared" si="33"/>
        <v>18353</v>
      </c>
    </row>
    <row r="22" spans="1:15" x14ac:dyDescent="0.45">
      <c r="A22" s="44" t="s">
        <v>129</v>
      </c>
      <c r="B22" s="47" t="str">
        <f t="shared" ref="B22:H22" si="34">+IFERROR(B21/A21-1,"nm")</f>
        <v>nm</v>
      </c>
      <c r="C22" s="47">
        <f t="shared" si="34"/>
        <v>7.4526928675400228E-2</v>
      </c>
      <c r="D22" s="47">
        <f t="shared" si="34"/>
        <v>3.0615009482525046E-2</v>
      </c>
      <c r="E22" s="47">
        <f t="shared" si="34"/>
        <v>-2.372502628811779E-2</v>
      </c>
      <c r="F22" s="47">
        <f t="shared" si="34"/>
        <v>7.0481319421070276E-2</v>
      </c>
      <c r="G22" s="47">
        <f t="shared" si="34"/>
        <v>-8.9171173437303519E-2</v>
      </c>
      <c r="H22" s="47">
        <f t="shared" si="34"/>
        <v>0.18606738470035911</v>
      </c>
      <c r="I22" s="47">
        <f>+IFERROR(I21/H21-1,"nm")</f>
        <v>6.8339251411607238E-2</v>
      </c>
      <c r="J22" s="47">
        <f t="shared" ref="J22:N22" si="35">+IFERROR(J21/I21-1,"nm")</f>
        <v>0</v>
      </c>
      <c r="K22" s="47">
        <f t="shared" si="35"/>
        <v>0</v>
      </c>
      <c r="L22" s="47">
        <f t="shared" si="35"/>
        <v>0</v>
      </c>
      <c r="M22" s="47">
        <f t="shared" si="35"/>
        <v>0</v>
      </c>
      <c r="N22" s="47">
        <f t="shared" si="35"/>
        <v>0</v>
      </c>
    </row>
    <row r="23" spans="1:15" x14ac:dyDescent="0.45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45">
      <c r="A24" s="44" t="s">
        <v>129</v>
      </c>
      <c r="B24" s="47" t="str">
        <f t="shared" ref="B24" si="37">+IFERROR(B23/A23-1,"nm")</f>
        <v>nm</v>
      </c>
      <c r="C24" s="47">
        <f t="shared" ref="C24" si="38">+IFERROR(C23/B23-1,"nm")</f>
        <v>9.3228309428638578E-2</v>
      </c>
      <c r="D24" s="47">
        <f t="shared" ref="D24" si="39">+IFERROR(D23/C23-1,"nm")</f>
        <v>4.1402301322722934E-2</v>
      </c>
      <c r="E24" s="47">
        <f t="shared" ref="E24" si="40">+IFERROR(E23/D23-1,"nm")</f>
        <v>-3.7381247418422192E-2</v>
      </c>
      <c r="F24" s="47">
        <f t="shared" ref="F24" si="41">+IFERROR(F23/E23-1,"nm")</f>
        <v>7.755846384895948E-2</v>
      </c>
      <c r="G24" s="47">
        <f t="shared" ref="G24" si="42">+IFERROR(G23/F23-1,"nm")</f>
        <v>-7.1279243404678949E-2</v>
      </c>
      <c r="H24" s="47">
        <f t="shared" ref="H24" si="43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4">+K25+K26</f>
        <v>0</v>
      </c>
      <c r="L24" s="47">
        <f t="shared" si="44"/>
        <v>0</v>
      </c>
      <c r="M24" s="47">
        <f t="shared" si="44"/>
        <v>0</v>
      </c>
      <c r="N24" s="47">
        <f t="shared" si="44"/>
        <v>0</v>
      </c>
    </row>
    <row r="25" spans="1:15" x14ac:dyDescent="0.45">
      <c r="A25" s="44" t="s">
        <v>137</v>
      </c>
      <c r="B25" s="47">
        <f>+Historicals!B186</f>
        <v>513</v>
      </c>
      <c r="C25" s="47">
        <f>+Historicals!C186</f>
        <v>538</v>
      </c>
      <c r="D25" s="47">
        <f>+Historicals!D186</f>
        <v>587</v>
      </c>
      <c r="E25" s="47">
        <f>+Historicals!E186</f>
        <v>604</v>
      </c>
      <c r="F25" s="47">
        <f>+Historicals!F186</f>
        <v>558</v>
      </c>
      <c r="G25" s="47">
        <f>+Historicals!G186</f>
        <v>584</v>
      </c>
      <c r="H25" s="47">
        <f>+Historicals!H186</f>
        <v>577</v>
      </c>
      <c r="I25" s="47">
        <f>+Historicals!I186</f>
        <v>561</v>
      </c>
      <c r="J25" s="49">
        <v>0</v>
      </c>
      <c r="K25" s="49">
        <f t="shared" ref="K25:N26" si="45">+J25</f>
        <v>0</v>
      </c>
      <c r="L25" s="49">
        <f t="shared" si="45"/>
        <v>0</v>
      </c>
      <c r="M25" s="49">
        <f t="shared" si="45"/>
        <v>0</v>
      </c>
      <c r="N25" s="49">
        <f t="shared" si="45"/>
        <v>0</v>
      </c>
    </row>
    <row r="26" spans="1:15" x14ac:dyDescent="0.45">
      <c r="A26" s="44" t="s">
        <v>138</v>
      </c>
      <c r="B26" s="47" t="str">
        <f t="shared" ref="B26:H26" si="46">+IFERROR(B24-B25,"nm")</f>
        <v>nm</v>
      </c>
      <c r="C26" s="47">
        <f t="shared" si="46"/>
        <v>-537.90677169057142</v>
      </c>
      <c r="D26" s="47">
        <f t="shared" si="46"/>
        <v>-586.95859769867729</v>
      </c>
      <c r="E26" s="47">
        <f t="shared" si="46"/>
        <v>-604.03738124741847</v>
      </c>
      <c r="F26" s="47">
        <f t="shared" si="46"/>
        <v>-557.92244153615104</v>
      </c>
      <c r="G26" s="47">
        <f t="shared" si="46"/>
        <v>-584.07127924340466</v>
      </c>
      <c r="H26" s="47">
        <f t="shared" si="46"/>
        <v>-576.75184907278378</v>
      </c>
      <c r="I26" s="47">
        <f>+IFERROR(I24-I25,"nm")</f>
        <v>-560.94984541394706</v>
      </c>
      <c r="J26" s="49">
        <v>0</v>
      </c>
      <c r="K26" s="49">
        <f t="shared" si="45"/>
        <v>0</v>
      </c>
      <c r="L26" s="49">
        <f t="shared" si="45"/>
        <v>0</v>
      </c>
      <c r="M26" s="49">
        <f t="shared" si="45"/>
        <v>0</v>
      </c>
      <c r="N26" s="49">
        <f t="shared" si="45"/>
        <v>0</v>
      </c>
    </row>
    <row r="27" spans="1:15" x14ac:dyDescent="0.45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7">+J27*(1+K28)</f>
        <v>5492</v>
      </c>
      <c r="L27" s="3">
        <f t="shared" ref="L27" si="48">+K27*(1+L28)</f>
        <v>5492</v>
      </c>
      <c r="M27" s="3">
        <f t="shared" ref="M27" si="49">+L27*(1+M28)</f>
        <v>5492</v>
      </c>
      <c r="N27" s="3">
        <f t="shared" ref="N27" si="50">+M27*(1+N28)</f>
        <v>5492</v>
      </c>
    </row>
    <row r="28" spans="1:15" x14ac:dyDescent="0.45">
      <c r="A28" s="44" t="s">
        <v>129</v>
      </c>
      <c r="B28" s="47" t="str">
        <f t="shared" ref="B28" si="51">+IFERROR(B27/A27-1,"nm")</f>
        <v>nm</v>
      </c>
      <c r="C28" s="47">
        <f t="shared" ref="C28" si="52">+IFERROR(C27/B27-1,"nm")</f>
        <v>7.6190476190476142E-2</v>
      </c>
      <c r="D28" s="47">
        <f t="shared" ref="D28" si="53">+IFERROR(D27/C27-1,"nm")</f>
        <v>2.9498525073746285E-2</v>
      </c>
      <c r="E28" s="47">
        <f t="shared" ref="E28" si="54">+IFERROR(E27/D27-1,"nm")</f>
        <v>1.0642652476463343E-2</v>
      </c>
      <c r="F28" s="47">
        <f t="shared" ref="F28" si="55">+IFERROR(F27/E27-1,"nm")</f>
        <v>6.5208586472256025E-2</v>
      </c>
      <c r="G28" s="47">
        <f t="shared" ref="G28" si="56">+IFERROR(G27/F27-1,"nm")</f>
        <v>-0.11806083650190113</v>
      </c>
      <c r="H28" s="47">
        <f t="shared" ref="H28" si="57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8">+K29+K30</f>
        <v>0</v>
      </c>
      <c r="L28" s="47">
        <f t="shared" ref="L28" si="59">+L29+L30</f>
        <v>0</v>
      </c>
      <c r="M28" s="47">
        <f t="shared" ref="M28" si="60">+M29+M30</f>
        <v>0</v>
      </c>
      <c r="N28" s="47">
        <f t="shared" ref="N28" si="61">+N29+N30</f>
        <v>0</v>
      </c>
    </row>
    <row r="29" spans="1:15" x14ac:dyDescent="0.45">
      <c r="A29" s="44" t="s">
        <v>137</v>
      </c>
      <c r="B29" s="47">
        <f>+Historicals!B190</f>
        <v>0</v>
      </c>
      <c r="C29" s="47">
        <f>+Historicals!C190</f>
        <v>0</v>
      </c>
      <c r="D29" s="47">
        <f>+Historicals!D190</f>
        <v>0</v>
      </c>
      <c r="E29" s="47">
        <f>+Historicals!E190</f>
        <v>0</v>
      </c>
      <c r="F29" s="47">
        <f>+Historicals!F190</f>
        <v>0</v>
      </c>
      <c r="G29" s="47">
        <f>+Historicals!G190</f>
        <v>0</v>
      </c>
      <c r="H29" s="47">
        <f>+Historicals!H190</f>
        <v>0</v>
      </c>
      <c r="I29" s="47">
        <f>+Historicals!I190</f>
        <v>0</v>
      </c>
      <c r="J29" s="49">
        <v>0</v>
      </c>
      <c r="K29" s="49">
        <f t="shared" ref="K29:N29" si="62">+J29</f>
        <v>0</v>
      </c>
      <c r="L29" s="49">
        <f t="shared" si="62"/>
        <v>0</v>
      </c>
      <c r="M29" s="49">
        <f t="shared" si="62"/>
        <v>0</v>
      </c>
      <c r="N29" s="49">
        <f t="shared" si="62"/>
        <v>0</v>
      </c>
    </row>
    <row r="30" spans="1:15" x14ac:dyDescent="0.45">
      <c r="A30" s="44" t="s">
        <v>138</v>
      </c>
      <c r="B30" s="47" t="str">
        <f t="shared" ref="B30" si="63">+IFERROR(B28-B29,"nm")</f>
        <v>nm</v>
      </c>
      <c r="C30" s="47">
        <f t="shared" ref="C30" si="64">+IFERROR(C28-C29,"nm")</f>
        <v>7.6190476190476142E-2</v>
      </c>
      <c r="D30" s="47">
        <f t="shared" ref="D30" si="65">+IFERROR(D28-D29,"nm")</f>
        <v>2.9498525073746285E-2</v>
      </c>
      <c r="E30" s="47">
        <f t="shared" ref="E30" si="66">+IFERROR(E28-E29,"nm")</f>
        <v>1.0642652476463343E-2</v>
      </c>
      <c r="F30" s="47">
        <f t="shared" ref="F30" si="67">+IFERROR(F28-F29,"nm")</f>
        <v>6.5208586472256025E-2</v>
      </c>
      <c r="G30" s="47">
        <f t="shared" ref="G30" si="68">+IFERROR(G28-G29,"nm")</f>
        <v>-0.11806083650190113</v>
      </c>
      <c r="H30" s="47">
        <f t="shared" ref="H30" si="69">+IFERROR(H28-H29,"nm")</f>
        <v>8.3854278939426541E-2</v>
      </c>
      <c r="I30" s="47">
        <f>+IFERROR(I28-I29,"nm")</f>
        <v>9.2283214001591007E-2</v>
      </c>
      <c r="J30" s="49">
        <v>0</v>
      </c>
      <c r="K30" s="49">
        <f t="shared" ref="K30:N30" si="70">+J30</f>
        <v>0</v>
      </c>
      <c r="L30" s="49">
        <f t="shared" si="70"/>
        <v>0</v>
      </c>
      <c r="M30" s="49">
        <f t="shared" si="70"/>
        <v>0</v>
      </c>
      <c r="N30" s="49">
        <f t="shared" si="70"/>
        <v>0</v>
      </c>
    </row>
    <row r="31" spans="1:15" x14ac:dyDescent="0.45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71">+J31*(1+K32)</f>
        <v>633</v>
      </c>
      <c r="L31" s="3">
        <f t="shared" ref="L31" si="72">+K31*(1+L32)</f>
        <v>633</v>
      </c>
      <c r="M31" s="3">
        <f t="shared" ref="M31" si="73">+L31*(1+M32)</f>
        <v>633</v>
      </c>
      <c r="N31" s="3">
        <f t="shared" ref="N31" si="74">+M31*(1+N32)</f>
        <v>633</v>
      </c>
    </row>
    <row r="32" spans="1:15" x14ac:dyDescent="0.45">
      <c r="A32" s="44" t="s">
        <v>129</v>
      </c>
      <c r="B32" s="47" t="str">
        <f t="shared" ref="B32" si="75">+IFERROR(B31/A31-1,"nm")</f>
        <v>nm</v>
      </c>
      <c r="C32" s="47">
        <f t="shared" ref="C32" si="76">+IFERROR(C31/B31-1,"nm")</f>
        <v>-0.12742718446601942</v>
      </c>
      <c r="D32" s="47">
        <f t="shared" ref="D32" si="77">+IFERROR(D31/C31-1,"nm")</f>
        <v>-0.10152990264255912</v>
      </c>
      <c r="E32" s="47">
        <f t="shared" ref="E32" si="78">+IFERROR(E31/D31-1,"nm")</f>
        <v>-7.8947368421052655E-2</v>
      </c>
      <c r="F32" s="47">
        <f t="shared" ref="F32" si="79">+IFERROR(F31/E31-1,"nm")</f>
        <v>3.3613445378151141E-3</v>
      </c>
      <c r="G32" s="47">
        <f t="shared" ref="G32" si="80">+IFERROR(G31/F31-1,"nm")</f>
        <v>-0.13567839195979903</v>
      </c>
      <c r="H32" s="47">
        <f t="shared" ref="H32" si="81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2">+K33+K34</f>
        <v>0</v>
      </c>
      <c r="L32" s="47">
        <f t="shared" ref="L32" si="83">+L33+L34</f>
        <v>0</v>
      </c>
      <c r="M32" s="47">
        <f t="shared" ref="M32" si="84">+M33+M34</f>
        <v>0</v>
      </c>
      <c r="N32" s="47">
        <f t="shared" ref="N32" si="85">+N33+N34</f>
        <v>0</v>
      </c>
    </row>
    <row r="33" spans="1:14" x14ac:dyDescent="0.45">
      <c r="A33" s="44" t="s">
        <v>137</v>
      </c>
      <c r="B33" s="47">
        <f>+Historicals!B188</f>
        <v>75</v>
      </c>
      <c r="C33" s="47">
        <f>+Historicals!C188</f>
        <v>84</v>
      </c>
      <c r="D33" s="47">
        <f>+Historicals!D188</f>
        <v>91</v>
      </c>
      <c r="E33" s="47">
        <f>+Historicals!E188</f>
        <v>110</v>
      </c>
      <c r="F33" s="47">
        <f>+Historicals!F188</f>
        <v>116</v>
      </c>
      <c r="G33" s="47">
        <f>+Historicals!G188</f>
        <v>112</v>
      </c>
      <c r="H33" s="47">
        <f>+Historicals!H188</f>
        <v>141</v>
      </c>
      <c r="I33" s="47">
        <f>+Historicals!I188</f>
        <v>134</v>
      </c>
      <c r="J33" s="49">
        <v>0</v>
      </c>
      <c r="K33" s="49">
        <f t="shared" ref="K33:N33" si="86">+J33</f>
        <v>0</v>
      </c>
      <c r="L33" s="49">
        <f t="shared" si="86"/>
        <v>0</v>
      </c>
      <c r="M33" s="49">
        <f t="shared" si="86"/>
        <v>0</v>
      </c>
      <c r="N33" s="49">
        <f t="shared" si="86"/>
        <v>0</v>
      </c>
    </row>
    <row r="34" spans="1:14" x14ac:dyDescent="0.45">
      <c r="A34" s="44" t="s">
        <v>138</v>
      </c>
      <c r="B34" s="47" t="str">
        <f t="shared" ref="B34" si="87">+IFERROR(B32-B33,"nm")</f>
        <v>nm</v>
      </c>
      <c r="C34" s="47">
        <f t="shared" ref="C34" si="88">+IFERROR(C32-C33,"nm")</f>
        <v>-84.127427184466015</v>
      </c>
      <c r="D34" s="47">
        <f t="shared" ref="D34" si="89">+IFERROR(D32-D33,"nm")</f>
        <v>-91.101529902642554</v>
      </c>
      <c r="E34" s="47">
        <f t="shared" ref="E34" si="90">+IFERROR(E32-E33,"nm")</f>
        <v>-110.07894736842105</v>
      </c>
      <c r="F34" s="47">
        <f t="shared" ref="F34" si="91">+IFERROR(F32-F33,"nm")</f>
        <v>-115.99663865546219</v>
      </c>
      <c r="G34" s="47">
        <f t="shared" ref="G34" si="92">+IFERROR(G32-G33,"nm")</f>
        <v>-112.1356783919598</v>
      </c>
      <c r="H34" s="47">
        <f t="shared" ref="H34" si="93">+IFERROR(H32-H33,"nm")</f>
        <v>-141.01744186046511</v>
      </c>
      <c r="I34" s="47">
        <f>+IFERROR(I32-I33,"nm")</f>
        <v>-133.75147928994082</v>
      </c>
      <c r="J34" s="49">
        <v>0</v>
      </c>
      <c r="K34" s="49">
        <f t="shared" ref="K34:N34" si="94">+J34</f>
        <v>0</v>
      </c>
      <c r="L34" s="49">
        <f t="shared" si="94"/>
        <v>0</v>
      </c>
      <c r="M34" s="49">
        <f t="shared" si="94"/>
        <v>0</v>
      </c>
      <c r="N34" s="49">
        <f t="shared" si="94"/>
        <v>0</v>
      </c>
    </row>
    <row r="35" spans="1:14" x14ac:dyDescent="0.45">
      <c r="A35" s="9" t="s">
        <v>130</v>
      </c>
      <c r="B35" s="48">
        <f t="shared" ref="B35:H35" si="95">+B42+B38</f>
        <v>143</v>
      </c>
      <c r="C35" s="48">
        <f t="shared" si="95"/>
        <v>172</v>
      </c>
      <c r="D35" s="48">
        <f t="shared" si="95"/>
        <v>353</v>
      </c>
      <c r="E35" s="48">
        <f t="shared" si="95"/>
        <v>312</v>
      </c>
      <c r="F35" s="48">
        <f t="shared" si="95"/>
        <v>271</v>
      </c>
      <c r="G35" s="48">
        <f t="shared" si="95"/>
        <v>427</v>
      </c>
      <c r="H35" s="48">
        <f t="shared" si="95"/>
        <v>318</v>
      </c>
      <c r="I35" s="48">
        <f>+I42+I38</f>
        <v>150</v>
      </c>
      <c r="J35" s="48">
        <f>+J21*J37</f>
        <v>150</v>
      </c>
      <c r="K35" s="48">
        <f t="shared" ref="K35:N35" si="96">+K21*K37</f>
        <v>150</v>
      </c>
      <c r="L35" s="48">
        <f t="shared" si="96"/>
        <v>150</v>
      </c>
      <c r="M35" s="48">
        <f t="shared" si="96"/>
        <v>150</v>
      </c>
      <c r="N35" s="48">
        <f t="shared" si="96"/>
        <v>150</v>
      </c>
    </row>
    <row r="36" spans="1:14" x14ac:dyDescent="0.45">
      <c r="A36" s="46" t="s">
        <v>129</v>
      </c>
      <c r="B36" s="47" t="str">
        <f t="shared" ref="B36" si="97">+IFERROR(B35/A35-1,"nm")</f>
        <v>nm</v>
      </c>
      <c r="C36" s="47">
        <f t="shared" ref="C36" si="98">+IFERROR(C35/B35-1,"nm")</f>
        <v>0.2027972027972027</v>
      </c>
      <c r="D36" s="47">
        <f t="shared" ref="D36" si="99">+IFERROR(D35/C35-1,"nm")</f>
        <v>1.0523255813953489</v>
      </c>
      <c r="E36" s="47">
        <f t="shared" ref="E36" si="100">+IFERROR(E35/D35-1,"nm")</f>
        <v>-0.11614730878186974</v>
      </c>
      <c r="F36" s="47">
        <f t="shared" ref="F36" si="101">+IFERROR(F35/E35-1,"nm")</f>
        <v>-0.13141025641025639</v>
      </c>
      <c r="G36" s="47">
        <f t="shared" ref="G36" si="102">+IFERROR(G35/F35-1,"nm")</f>
        <v>0.57564575645756455</v>
      </c>
      <c r="H36" s="47">
        <f t="shared" ref="H36" si="103">+IFERROR(H35/G35-1,"nm")</f>
        <v>-0.25526932084309129</v>
      </c>
      <c r="I36" s="47">
        <f>+IFERROR(I35/H35-1,"nm")</f>
        <v>-0.52830188679245282</v>
      </c>
      <c r="J36" s="47">
        <f t="shared" ref="J36:N36" si="104">+IFERROR(J35/I35-1,"nm")</f>
        <v>0</v>
      </c>
      <c r="K36" s="47">
        <f t="shared" si="104"/>
        <v>0</v>
      </c>
      <c r="L36" s="47">
        <f t="shared" si="104"/>
        <v>0</v>
      </c>
      <c r="M36" s="47">
        <f t="shared" si="104"/>
        <v>0</v>
      </c>
      <c r="N36" s="47">
        <f t="shared" si="104"/>
        <v>0</v>
      </c>
    </row>
    <row r="37" spans="1:14" x14ac:dyDescent="0.45">
      <c r="A37" s="46" t="s">
        <v>131</v>
      </c>
      <c r="B37" s="47">
        <f t="shared" ref="B37:H37" si="105">+IFERROR(B35/B$21,"nm")</f>
        <v>1.0407569141193595E-2</v>
      </c>
      <c r="C37" s="47">
        <f t="shared" si="105"/>
        <v>1.1649959360606881E-2</v>
      </c>
      <c r="D37" s="47">
        <f t="shared" si="105"/>
        <v>2.319926393270242E-2</v>
      </c>
      <c r="E37" s="47">
        <f t="shared" si="105"/>
        <v>2.1003029283069675E-2</v>
      </c>
      <c r="F37" s="47">
        <f t="shared" si="105"/>
        <v>1.7041881524336562E-2</v>
      </c>
      <c r="G37" s="47">
        <f t="shared" si="105"/>
        <v>2.9480806407069869E-2</v>
      </c>
      <c r="H37" s="47">
        <f t="shared" si="105"/>
        <v>1.8510972699225799E-2</v>
      </c>
      <c r="I37" s="47">
        <f>+IFERROR(I35/I$21,"nm")</f>
        <v>8.1730507274015152E-3</v>
      </c>
      <c r="J37" s="49">
        <f>+I37</f>
        <v>8.1730507274015152E-3</v>
      </c>
      <c r="K37" s="49">
        <f t="shared" ref="K37:N37" si="106">+J37</f>
        <v>8.1730507274015152E-3</v>
      </c>
      <c r="L37" s="49">
        <f t="shared" si="106"/>
        <v>8.1730507274015152E-3</v>
      </c>
      <c r="M37" s="49">
        <f t="shared" si="106"/>
        <v>8.1730507274015152E-3</v>
      </c>
      <c r="N37" s="49">
        <f t="shared" si="106"/>
        <v>8.1730507274015152E-3</v>
      </c>
    </row>
    <row r="38" spans="1:14" x14ac:dyDescent="0.45">
      <c r="A38" s="9" t="s">
        <v>132</v>
      </c>
      <c r="B38" s="9">
        <f>+Historicals!B173</f>
        <v>225</v>
      </c>
      <c r="C38" s="9">
        <f>+Historicals!C173</f>
        <v>258</v>
      </c>
      <c r="D38" s="9">
        <f>+Historicals!D173</f>
        <v>278</v>
      </c>
      <c r="E38" s="9">
        <f>+Historicals!E173</f>
        <v>286</v>
      </c>
      <c r="F38" s="9">
        <f>+Historicals!F173</f>
        <v>278</v>
      </c>
      <c r="G38" s="9">
        <f>+Historicals!G173</f>
        <v>438</v>
      </c>
      <c r="H38" s="9">
        <f>+Historicals!H173</f>
        <v>278</v>
      </c>
      <c r="I38" s="9">
        <f>+Historicals!I173</f>
        <v>222</v>
      </c>
      <c r="J38" s="48">
        <f>+J41*J48</f>
        <v>222.00000000000006</v>
      </c>
      <c r="K38" s="48">
        <f t="shared" ref="K38:N38" si="107">+K41*K48</f>
        <v>222.00000000000006</v>
      </c>
      <c r="L38" s="48">
        <f t="shared" si="107"/>
        <v>222.00000000000006</v>
      </c>
      <c r="M38" s="48">
        <f t="shared" si="107"/>
        <v>222.00000000000006</v>
      </c>
      <c r="N38" s="48">
        <f t="shared" si="107"/>
        <v>222.00000000000006</v>
      </c>
    </row>
    <row r="39" spans="1:14" x14ac:dyDescent="0.45">
      <c r="A39" s="46" t="s">
        <v>129</v>
      </c>
      <c r="B39" s="47" t="str">
        <f t="shared" ref="B39" si="108">+IFERROR(B38/A38-1,"nm")</f>
        <v>nm</v>
      </c>
      <c r="C39" s="47">
        <f t="shared" ref="C39" si="109">+IFERROR(C38/B38-1,"nm")</f>
        <v>0.14666666666666672</v>
      </c>
      <c r="D39" s="47">
        <f t="shared" ref="D39" si="110">+IFERROR(D38/C38-1,"nm")</f>
        <v>7.7519379844961156E-2</v>
      </c>
      <c r="E39" s="47">
        <f t="shared" ref="E39" si="111">+IFERROR(E38/D38-1,"nm")</f>
        <v>2.877697841726623E-2</v>
      </c>
      <c r="F39" s="47">
        <f t="shared" ref="F39" si="112">+IFERROR(F38/E38-1,"nm")</f>
        <v>-2.7972027972028024E-2</v>
      </c>
      <c r="G39" s="47">
        <f t="shared" ref="G39" si="113">+IFERROR(G38/F38-1,"nm")</f>
        <v>0.57553956834532372</v>
      </c>
      <c r="H39" s="47">
        <f t="shared" ref="H39" si="114">+IFERROR(H38/G38-1,"nm")</f>
        <v>-0.36529680365296802</v>
      </c>
      <c r="I39" s="47">
        <f>+IFERROR(I38/H38-1,"nm")</f>
        <v>-0.20143884892086328</v>
      </c>
      <c r="J39" s="47">
        <f t="shared" ref="J39" si="115">+IFERROR(J38/I38-1,"nm")</f>
        <v>2.2204460492503131E-16</v>
      </c>
      <c r="K39" s="47">
        <f t="shared" ref="K39" si="116">+IFERROR(K38/J38-1,"nm")</f>
        <v>0</v>
      </c>
      <c r="L39" s="47">
        <f t="shared" ref="L39" si="117">+IFERROR(L38/K38-1,"nm")</f>
        <v>0</v>
      </c>
      <c r="M39" s="47">
        <f t="shared" ref="M39" si="118">+IFERROR(M38/L38-1,"nm")</f>
        <v>0</v>
      </c>
      <c r="N39" s="47">
        <f t="shared" ref="N39" si="119">+IFERROR(N38/M38-1,"nm")</f>
        <v>0</v>
      </c>
    </row>
    <row r="40" spans="1:14" x14ac:dyDescent="0.45">
      <c r="A40" s="46" t="s">
        <v>133</v>
      </c>
      <c r="B40" s="47">
        <f t="shared" ref="B40:H40" si="120">+IFERROR(B38/B$21,"nm")</f>
        <v>1.6375545851528384E-2</v>
      </c>
      <c r="C40" s="47">
        <f t="shared" si="120"/>
        <v>1.7474939040910322E-2</v>
      </c>
      <c r="D40" s="47">
        <f t="shared" si="120"/>
        <v>1.8270241850683492E-2</v>
      </c>
      <c r="E40" s="47">
        <f t="shared" si="120"/>
        <v>1.9252776842813867E-2</v>
      </c>
      <c r="F40" s="47">
        <f t="shared" si="120"/>
        <v>1.7482077726072191E-2</v>
      </c>
      <c r="G40" s="47">
        <f t="shared" si="120"/>
        <v>3.0240265120132559E-2</v>
      </c>
      <c r="H40" s="47">
        <f t="shared" si="120"/>
        <v>1.618254846032947E-2</v>
      </c>
      <c r="I40" s="47">
        <f>+IFERROR(I38/I$21,"nm")</f>
        <v>1.2096115076554241E-2</v>
      </c>
      <c r="J40" s="47">
        <f t="shared" ref="J40:N40" si="121">+IFERROR(J38/J$21,"nm")</f>
        <v>1.2096115076554245E-2</v>
      </c>
      <c r="K40" s="47">
        <f t="shared" si="121"/>
        <v>1.2096115076554245E-2</v>
      </c>
      <c r="L40" s="47">
        <f t="shared" si="121"/>
        <v>1.2096115076554245E-2</v>
      </c>
      <c r="M40" s="47">
        <f t="shared" si="121"/>
        <v>1.2096115076554245E-2</v>
      </c>
      <c r="N40" s="47">
        <f t="shared" si="121"/>
        <v>1.2096115076554245E-2</v>
      </c>
    </row>
    <row r="41" spans="1:14" x14ac:dyDescent="0.45">
      <c r="A41" s="46" t="s">
        <v>140</v>
      </c>
      <c r="B41" s="47">
        <f t="shared" ref="B41:H41" si="122">+IFERROR(B38/B48,"nm")</f>
        <v>0.43520309477756286</v>
      </c>
      <c r="C41" s="47">
        <f t="shared" si="122"/>
        <v>0.52977412731006157</v>
      </c>
      <c r="D41" s="47">
        <f t="shared" si="122"/>
        <v>0.58280922431865823</v>
      </c>
      <c r="E41" s="47">
        <f t="shared" si="122"/>
        <v>0.92258064516129035</v>
      </c>
      <c r="F41" s="47">
        <f t="shared" si="122"/>
        <v>0.91749174917491749</v>
      </c>
      <c r="G41" s="47">
        <f t="shared" si="122"/>
        <v>1.4747474747474747</v>
      </c>
      <c r="H41" s="47">
        <f t="shared" si="122"/>
        <v>0.51197053406998161</v>
      </c>
      <c r="I41" s="47">
        <f>+IFERROR(I38/I48,"nm")</f>
        <v>0.33183856502242154</v>
      </c>
      <c r="J41" s="49">
        <f>+I41</f>
        <v>0.33183856502242154</v>
      </c>
      <c r="K41" s="49">
        <f t="shared" ref="K41:N41" si="123">+J41</f>
        <v>0.33183856502242154</v>
      </c>
      <c r="L41" s="49">
        <f t="shared" si="123"/>
        <v>0.33183856502242154</v>
      </c>
      <c r="M41" s="49">
        <f t="shared" si="123"/>
        <v>0.33183856502242154</v>
      </c>
      <c r="N41" s="49">
        <f t="shared" si="123"/>
        <v>0.33183856502242154</v>
      </c>
    </row>
    <row r="42" spans="1:14" x14ac:dyDescent="0.45">
      <c r="A42" s="9" t="s">
        <v>134</v>
      </c>
      <c r="B42" s="9">
        <f>+Historicals!B140</f>
        <v>-82</v>
      </c>
      <c r="C42" s="9">
        <f>+Historicals!C140</f>
        <v>-86</v>
      </c>
      <c r="D42" s="9">
        <f>+Historicals!D140</f>
        <v>75</v>
      </c>
      <c r="E42" s="9">
        <f>+Historicals!E140</f>
        <v>26</v>
      </c>
      <c r="F42" s="9">
        <f>+Historicals!F140</f>
        <v>-7</v>
      </c>
      <c r="G42" s="9">
        <f>+Historicals!G140</f>
        <v>-11</v>
      </c>
      <c r="H42" s="9">
        <f>+Historicals!H140</f>
        <v>40</v>
      </c>
      <c r="I42" s="9">
        <f>+Historicals!I140</f>
        <v>-72</v>
      </c>
      <c r="J42" s="9">
        <f>+J35-J38</f>
        <v>-72.000000000000057</v>
      </c>
      <c r="K42" s="9">
        <f t="shared" ref="K42:N42" si="124">+K35-K38</f>
        <v>-72.000000000000057</v>
      </c>
      <c r="L42" s="9">
        <f t="shared" si="124"/>
        <v>-72.000000000000057</v>
      </c>
      <c r="M42" s="9">
        <f t="shared" si="124"/>
        <v>-72.000000000000057</v>
      </c>
      <c r="N42" s="9">
        <f t="shared" si="124"/>
        <v>-72.000000000000057</v>
      </c>
    </row>
    <row r="43" spans="1:14" x14ac:dyDescent="0.45">
      <c r="A43" s="46" t="s">
        <v>129</v>
      </c>
      <c r="B43" s="47" t="str">
        <f t="shared" ref="B43" si="125">+IFERROR(B42/A42-1,"nm")</f>
        <v>nm</v>
      </c>
      <c r="C43" s="47">
        <f t="shared" ref="C43" si="126">+IFERROR(C42/B42-1,"nm")</f>
        <v>4.8780487804878092E-2</v>
      </c>
      <c r="D43" s="47">
        <f t="shared" ref="D43" si="127">+IFERROR(D42/C42-1,"nm")</f>
        <v>-1.8720930232558139</v>
      </c>
      <c r="E43" s="47">
        <f t="shared" ref="E43" si="128">+IFERROR(E42/D42-1,"nm")</f>
        <v>-0.65333333333333332</v>
      </c>
      <c r="F43" s="47">
        <f t="shared" ref="F43" si="129">+IFERROR(F42/E42-1,"nm")</f>
        <v>-1.2692307692307692</v>
      </c>
      <c r="G43" s="47">
        <f t="shared" ref="G43" si="130">+IFERROR(G42/F42-1,"nm")</f>
        <v>0.5714285714285714</v>
      </c>
      <c r="H43" s="47">
        <f t="shared" ref="H43" si="131">+IFERROR(H42/G42-1,"nm")</f>
        <v>-4.6363636363636367</v>
      </c>
      <c r="I43" s="47">
        <f>+IFERROR(I42/H42-1,"nm")</f>
        <v>-2.8</v>
      </c>
      <c r="J43" s="47">
        <f t="shared" ref="J43:N43" si="132">+IFERROR(J42/I42-1,"nm")</f>
        <v>8.8817841970012523E-16</v>
      </c>
      <c r="K43" s="47">
        <f t="shared" si="132"/>
        <v>0</v>
      </c>
      <c r="L43" s="47">
        <f t="shared" si="132"/>
        <v>0</v>
      </c>
      <c r="M43" s="47">
        <f t="shared" si="132"/>
        <v>0</v>
      </c>
      <c r="N43" s="47">
        <f t="shared" si="132"/>
        <v>0</v>
      </c>
    </row>
    <row r="44" spans="1:14" x14ac:dyDescent="0.45">
      <c r="A44" s="46" t="s">
        <v>131</v>
      </c>
      <c r="B44" s="47">
        <f t="shared" ref="B44:H44" si="133">+IFERROR(B42/B$21,"nm")</f>
        <v>-5.9679767103347891E-3</v>
      </c>
      <c r="C44" s="47">
        <f t="shared" si="133"/>
        <v>-5.8249796803034404E-3</v>
      </c>
      <c r="D44" s="47">
        <f t="shared" si="133"/>
        <v>4.9290220820189272E-3</v>
      </c>
      <c r="E44" s="47">
        <f t="shared" si="133"/>
        <v>1.7502524402558061E-3</v>
      </c>
      <c r="F44" s="47">
        <f t="shared" si="133"/>
        <v>-4.4019620173563076E-4</v>
      </c>
      <c r="G44" s="47">
        <f t="shared" si="133"/>
        <v>-7.5945871306268991E-4</v>
      </c>
      <c r="H44" s="47">
        <f t="shared" si="133"/>
        <v>2.3284242388963267E-3</v>
      </c>
      <c r="I44" s="47">
        <f>+IFERROR(I42/I$21,"nm")</f>
        <v>-3.9230643491527271E-3</v>
      </c>
      <c r="J44" s="47">
        <f t="shared" ref="J44:N44" si="134">+IFERROR(J42/J$21,"nm")</f>
        <v>-3.9230643491527306E-3</v>
      </c>
      <c r="K44" s="47">
        <f t="shared" si="134"/>
        <v>-3.9230643491527306E-3</v>
      </c>
      <c r="L44" s="47">
        <f t="shared" si="134"/>
        <v>-3.9230643491527306E-3</v>
      </c>
      <c r="M44" s="47">
        <f t="shared" si="134"/>
        <v>-3.9230643491527306E-3</v>
      </c>
      <c r="N44" s="47">
        <f t="shared" si="134"/>
        <v>-3.9230643491527306E-3</v>
      </c>
    </row>
    <row r="45" spans="1:14" x14ac:dyDescent="0.45">
      <c r="A45" s="9" t="s">
        <v>135</v>
      </c>
      <c r="B45" s="9">
        <f>+Historicals!B162</f>
        <v>2176</v>
      </c>
      <c r="C45" s="9">
        <f>+Historicals!C162</f>
        <v>2458</v>
      </c>
      <c r="D45" s="9">
        <f>+Historicals!D162</f>
        <v>2626</v>
      </c>
      <c r="E45" s="9">
        <f>+Historicals!E162</f>
        <v>2889</v>
      </c>
      <c r="F45" s="9">
        <f>+Historicals!F162</f>
        <v>2971</v>
      </c>
      <c r="G45" s="9">
        <f>+Historicals!G162</f>
        <v>2870</v>
      </c>
      <c r="H45" s="9">
        <f>+Historicals!H162</f>
        <v>2971</v>
      </c>
      <c r="I45" s="9">
        <f>+Historicals!I162</f>
        <v>2925</v>
      </c>
      <c r="J45" s="48">
        <f>+J21*J47</f>
        <v>2925</v>
      </c>
      <c r="K45" s="48">
        <f t="shared" ref="K45:N45" si="135">+K21*K47</f>
        <v>2925</v>
      </c>
      <c r="L45" s="48">
        <f t="shared" si="135"/>
        <v>2925</v>
      </c>
      <c r="M45" s="48">
        <f t="shared" si="135"/>
        <v>2925</v>
      </c>
      <c r="N45" s="48">
        <f t="shared" si="135"/>
        <v>2925</v>
      </c>
    </row>
    <row r="46" spans="1:14" x14ac:dyDescent="0.45">
      <c r="A46" s="46" t="s">
        <v>129</v>
      </c>
      <c r="B46" s="47" t="str">
        <f t="shared" ref="B46" si="136">+IFERROR(B45/A45-1,"nm")</f>
        <v>nm</v>
      </c>
      <c r="C46" s="47">
        <f t="shared" ref="C46" si="137">+IFERROR(C45/B45-1,"nm")</f>
        <v>0.12959558823529416</v>
      </c>
      <c r="D46" s="47">
        <f t="shared" ref="D46" si="138">+IFERROR(D45/C45-1,"nm")</f>
        <v>6.8348250610252181E-2</v>
      </c>
      <c r="E46" s="47">
        <f t="shared" ref="E46" si="139">+IFERROR(E45/D45-1,"nm")</f>
        <v>0.10015232292460019</v>
      </c>
      <c r="F46" s="47">
        <f t="shared" ref="F46" si="140">+IFERROR(F45/E45-1,"nm")</f>
        <v>2.8383523710626468E-2</v>
      </c>
      <c r="G46" s="47">
        <f t="shared" ref="G46" si="141">+IFERROR(G45/F45-1,"nm")</f>
        <v>-3.3995287781891648E-2</v>
      </c>
      <c r="H46" s="47">
        <f t="shared" ref="H46" si="142">+IFERROR(H45/G45-1,"nm")</f>
        <v>3.519163763066202E-2</v>
      </c>
      <c r="I46" s="47">
        <f>+IFERROR(I45/H45-1,"nm")</f>
        <v>-1.5483002356108999E-2</v>
      </c>
      <c r="J46" s="47">
        <f t="shared" ref="J46" si="143">+IFERROR(J45/I45-1,"nm")</f>
        <v>0</v>
      </c>
      <c r="K46" s="47">
        <f t="shared" ref="K46" si="144">+IFERROR(K45/J45-1,"nm")</f>
        <v>0</v>
      </c>
      <c r="L46" s="47">
        <f t="shared" ref="L46" si="145">+IFERROR(L45/K45-1,"nm")</f>
        <v>0</v>
      </c>
      <c r="M46" s="47">
        <f t="shared" ref="M46" si="146">+IFERROR(M45/L45-1,"nm")</f>
        <v>0</v>
      </c>
      <c r="N46" s="47">
        <f t="shared" ref="N46" si="147">+IFERROR(N45/M45-1,"nm")</f>
        <v>0</v>
      </c>
    </row>
    <row r="47" spans="1:14" x14ac:dyDescent="0.45">
      <c r="A47" s="46" t="s">
        <v>133</v>
      </c>
      <c r="B47" s="47">
        <f t="shared" ref="B47:H47" si="148">+IFERROR(B45/B$21,"nm")</f>
        <v>0.15836972343522562</v>
      </c>
      <c r="C47" s="47">
        <f t="shared" si="148"/>
        <v>0.16648604714169601</v>
      </c>
      <c r="D47" s="47">
        <f t="shared" si="148"/>
        <v>0.17258149316508939</v>
      </c>
      <c r="E47" s="47">
        <f t="shared" si="148"/>
        <v>0.19447997307303938</v>
      </c>
      <c r="F47" s="47">
        <f t="shared" si="148"/>
        <v>0.186831845050937</v>
      </c>
      <c r="G47" s="47">
        <f t="shared" si="148"/>
        <v>0.19814968240817454</v>
      </c>
      <c r="H47" s="47">
        <f t="shared" si="148"/>
        <v>0.17294371034402467</v>
      </c>
      <c r="I47" s="47">
        <f>+IFERROR(I45/I$21,"nm")</f>
        <v>0.15937448918432953</v>
      </c>
      <c r="J47" s="49">
        <f>+I47</f>
        <v>0.15937448918432953</v>
      </c>
      <c r="K47" s="49">
        <f t="shared" ref="K47:N47" si="149">+J47</f>
        <v>0.15937448918432953</v>
      </c>
      <c r="L47" s="49">
        <f t="shared" si="149"/>
        <v>0.15937448918432953</v>
      </c>
      <c r="M47" s="49">
        <f t="shared" si="149"/>
        <v>0.15937448918432953</v>
      </c>
      <c r="N47" s="49">
        <f t="shared" si="149"/>
        <v>0.15937448918432953</v>
      </c>
    </row>
    <row r="48" spans="1:14" x14ac:dyDescent="0.45">
      <c r="A48" s="9" t="s">
        <v>141</v>
      </c>
      <c r="B48" s="9">
        <f>+Historicals!B151</f>
        <v>517</v>
      </c>
      <c r="C48" s="9">
        <f>+Historicals!C151</f>
        <v>487</v>
      </c>
      <c r="D48" s="9">
        <f>+Historicals!D151</f>
        <v>477</v>
      </c>
      <c r="E48" s="9">
        <f>+Historicals!E151</f>
        <v>310</v>
      </c>
      <c r="F48" s="9">
        <f>+Historicals!F151</f>
        <v>303</v>
      </c>
      <c r="G48" s="9">
        <f>+Historicals!G151</f>
        <v>297</v>
      </c>
      <c r="H48" s="9">
        <f>+Historicals!H151</f>
        <v>543</v>
      </c>
      <c r="I48" s="9">
        <f>+Historicals!I151</f>
        <v>669</v>
      </c>
      <c r="J48" s="48">
        <f>+J21*J50</f>
        <v>669.00000000000011</v>
      </c>
      <c r="K48" s="48">
        <f t="shared" ref="K48:N48" si="150">+K21*K50</f>
        <v>669.00000000000011</v>
      </c>
      <c r="L48" s="48">
        <f t="shared" si="150"/>
        <v>669.00000000000011</v>
      </c>
      <c r="M48" s="48">
        <f t="shared" si="150"/>
        <v>669.00000000000011</v>
      </c>
      <c r="N48" s="48">
        <f t="shared" si="150"/>
        <v>669.00000000000011</v>
      </c>
    </row>
    <row r="49" spans="1:14" x14ac:dyDescent="0.45">
      <c r="A49" s="46" t="s">
        <v>129</v>
      </c>
      <c r="B49" s="47" t="str">
        <f t="shared" ref="B49" si="151">+IFERROR(B48/A48-1,"nm")</f>
        <v>nm</v>
      </c>
      <c r="C49" s="47">
        <f t="shared" ref="C49" si="152">+IFERROR(C48/B48-1,"nm")</f>
        <v>-5.8027079303675011E-2</v>
      </c>
      <c r="D49" s="47">
        <f t="shared" ref="D49" si="153">+IFERROR(D48/C48-1,"nm")</f>
        <v>-2.0533880903490731E-2</v>
      </c>
      <c r="E49" s="47">
        <f t="shared" ref="E49" si="154">+IFERROR(E48/D48-1,"nm")</f>
        <v>-0.35010482180293501</v>
      </c>
      <c r="F49" s="47">
        <f t="shared" ref="F49" si="155">+IFERROR(F48/E48-1,"nm")</f>
        <v>-2.2580645161290325E-2</v>
      </c>
      <c r="G49" s="47">
        <f t="shared" ref="G49" si="156">+IFERROR(G48/F48-1,"nm")</f>
        <v>-1.980198019801982E-2</v>
      </c>
      <c r="H49" s="47">
        <f t="shared" ref="H49" si="157">+IFERROR(H48/G48-1,"nm")</f>
        <v>0.82828282828282829</v>
      </c>
      <c r="I49" s="47">
        <f>+IFERROR(I48/H48-1,"nm")</f>
        <v>0.2320441988950277</v>
      </c>
      <c r="J49" s="47">
        <f>+J50+J51</f>
        <v>3.6451806244210759E-2</v>
      </c>
      <c r="K49" s="47">
        <f t="shared" ref="K49" si="158">+K50+K51</f>
        <v>3.6451806244210759E-2</v>
      </c>
      <c r="L49" s="47">
        <f t="shared" ref="L49" si="159">+L50+L51</f>
        <v>3.6451806244210759E-2</v>
      </c>
      <c r="M49" s="47">
        <f t="shared" ref="M49" si="160">+M50+M51</f>
        <v>3.6451806244210759E-2</v>
      </c>
      <c r="N49" s="47">
        <f t="shared" ref="N49" si="161">+N50+N51</f>
        <v>3.6451806244210759E-2</v>
      </c>
    </row>
    <row r="50" spans="1:14" x14ac:dyDescent="0.45">
      <c r="A50" s="46" t="s">
        <v>133</v>
      </c>
      <c r="B50" s="47">
        <f t="shared" ref="B50:H50" si="162">+IFERROR(B48/B$21,"nm")</f>
        <v>3.7627365356622998E-2</v>
      </c>
      <c r="C50" s="47">
        <f t="shared" si="162"/>
        <v>3.2985640747764833E-2</v>
      </c>
      <c r="D50" s="47">
        <f t="shared" si="162"/>
        <v>3.1348580441640378E-2</v>
      </c>
      <c r="E50" s="47">
        <f t="shared" si="162"/>
        <v>2.0868394479973074E-2</v>
      </c>
      <c r="F50" s="47">
        <f t="shared" si="162"/>
        <v>1.9054207017985159E-2</v>
      </c>
      <c r="G50" s="47">
        <f t="shared" si="162"/>
        <v>2.0505385252692625E-2</v>
      </c>
      <c r="H50" s="47">
        <f t="shared" si="162"/>
        <v>3.1608359043017641E-2</v>
      </c>
      <c r="I50" s="47">
        <f>+IFERROR(I48/I$21,"nm")</f>
        <v>3.6451806244210759E-2</v>
      </c>
      <c r="J50" s="49">
        <f>+I50</f>
        <v>3.6451806244210759E-2</v>
      </c>
      <c r="K50" s="49">
        <f t="shared" ref="K50:N50" si="163">+J50</f>
        <v>3.6451806244210759E-2</v>
      </c>
      <c r="L50" s="49">
        <f t="shared" si="163"/>
        <v>3.6451806244210759E-2</v>
      </c>
      <c r="M50" s="49">
        <f t="shared" si="163"/>
        <v>3.6451806244210759E-2</v>
      </c>
      <c r="N50" s="49">
        <f t="shared" si="163"/>
        <v>3.6451806244210759E-2</v>
      </c>
    </row>
    <row r="51" spans="1:14" x14ac:dyDescent="0.4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zoomScaleNormal="100" workbookViewId="0">
      <selection activeCell="B70" sqref="B70"/>
    </sheetView>
  </sheetViews>
  <sheetFormatPr defaultRowHeight="14.25" x14ac:dyDescent="0.45"/>
  <cols>
    <col min="1" max="1" width="48.796875" customWidth="1"/>
    <col min="2" max="14" width="11.796875" customWidth="1"/>
    <col min="15" max="15" width="39.86328125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45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</row>
    <row r="4" spans="1:15" x14ac:dyDescent="0.45">
      <c r="A4" s="42" t="s">
        <v>129</v>
      </c>
      <c r="B4" s="55" t="str">
        <f>'Segmental forecast'!B4</f>
        <v>nm</v>
      </c>
      <c r="C4" s="55">
        <f>'Segmental forecast'!C4</f>
        <v>5.8004640371229765E-2</v>
      </c>
      <c r="D4" s="55">
        <f>'Segmental forecast'!D4</f>
        <v>6.0971089696071123E-2</v>
      </c>
      <c r="E4" s="55">
        <f>'Segmental forecast'!E4</f>
        <v>5.95924308588065E-2</v>
      </c>
      <c r="F4" s="55">
        <f>'Segmental forecast'!F4</f>
        <v>7.4731433909388079E-2</v>
      </c>
      <c r="G4" s="55">
        <f>'Segmental forecast'!G4</f>
        <v>-4.3817266150267153E-2</v>
      </c>
      <c r="H4" s="55">
        <f>'Segmental forecast'!H4</f>
        <v>0.19076009945726269</v>
      </c>
      <c r="I4" s="55">
        <f>'Segmental forecast'!I4</f>
        <v>4.8767344739323759E-2</v>
      </c>
      <c r="J4" s="55">
        <f>'Segmental forecast'!J4</f>
        <v>4.8767344739323759E-2</v>
      </c>
      <c r="K4" s="55">
        <f>'Segmental forecast'!K4</f>
        <v>4.8767344739323759E-2</v>
      </c>
      <c r="L4" s="55">
        <f>'Segmental forecast'!L4</f>
        <v>4.8767344739323759E-2</v>
      </c>
      <c r="M4" s="55">
        <f>'Segmental forecast'!M4</f>
        <v>4.8767344739323759E-2</v>
      </c>
      <c r="N4" s="55">
        <f>'Segmental forecast'!N4</f>
        <v>4.8767344739323759E-2</v>
      </c>
    </row>
    <row r="5" spans="1:15" x14ac:dyDescent="0.4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7480.152471631669</v>
      </c>
      <c r="K5" s="9">
        <f>'Segmental forecast'!K5</f>
        <v>7388.4432852049868</v>
      </c>
      <c r="L5" s="9">
        <f>'Segmental forecast'!L5</f>
        <v>7297.8584842646887</v>
      </c>
      <c r="M5" s="9">
        <f>'Segmental forecast'!M5</f>
        <v>7208.3842834663483</v>
      </c>
      <c r="N5" s="9">
        <f>'Segmental forecast'!N5</f>
        <v>7120.0070664784998</v>
      </c>
    </row>
    <row r="6" spans="1:15" x14ac:dyDescent="0.45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690.97983870967744</v>
      </c>
      <c r="K6" s="56">
        <f>'Segmental forecast'!K8</f>
        <v>665.90395746618105</v>
      </c>
      <c r="L6" s="56">
        <f>'Segmental forecast'!L8</f>
        <v>641.73808804200507</v>
      </c>
      <c r="M6" s="56">
        <f>'Segmental forecast'!M8</f>
        <v>618.4492058146742</v>
      </c>
      <c r="N6" s="56">
        <f>'Segmental forecast'!N8</f>
        <v>596.00548463591576</v>
      </c>
    </row>
    <row r="7" spans="1:15" x14ac:dyDescent="0.4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6789.648418315759</v>
      </c>
      <c r="K7" s="5">
        <f>'Segmental forecast'!K11</f>
        <v>6723.9389796291844</v>
      </c>
      <c r="L7" s="5">
        <f>'Segmental forecast'!L11</f>
        <v>6658.865469353992</v>
      </c>
      <c r="M7" s="5">
        <f>'Segmental forecast'!M11</f>
        <v>6594.4217330479514</v>
      </c>
      <c r="N7" s="5">
        <f>'Segmental forecast'!N11</f>
        <v>6530.6016758308178</v>
      </c>
    </row>
    <row r="8" spans="1:15" x14ac:dyDescent="0.45">
      <c r="A8" s="42" t="s">
        <v>129</v>
      </c>
      <c r="B8" s="55" t="str">
        <f>'Segmental forecast'!B12</f>
        <v>nm</v>
      </c>
      <c r="C8" s="55">
        <f>'Segmental forecast'!C12</f>
        <v>9.6621781242617555E-2</v>
      </c>
      <c r="D8" s="55">
        <f>'Segmental forecast'!D12</f>
        <v>6.5273588970271357E-2</v>
      </c>
      <c r="E8" s="55">
        <f>'Segmental forecast'!E12</f>
        <v>-0.11445904954499497</v>
      </c>
      <c r="F8" s="55">
        <f>'Segmental forecast'!F12</f>
        <v>0.10755880337976698</v>
      </c>
      <c r="G8" s="55">
        <f>'Segmental forecast'!G12</f>
        <v>-0.38639175257731961</v>
      </c>
      <c r="H8" s="55">
        <f>'Segmental forecast'!H12</f>
        <v>1.32627688172043</v>
      </c>
      <c r="I8" s="55">
        <f>'Segmental forecast'!I12</f>
        <v>-9.67788530983682E-3</v>
      </c>
      <c r="J8" s="55">
        <f>'Segmental forecast'!J12</f>
        <v>-9.67788530983682E-3</v>
      </c>
      <c r="K8" s="55">
        <f>'Segmental forecast'!K12</f>
        <v>-9.67788530983682E-3</v>
      </c>
      <c r="L8" s="55">
        <f>'Segmental forecast'!L12</f>
        <v>-9.67788530983682E-3</v>
      </c>
      <c r="M8" s="55">
        <f>'Segmental forecast'!M12</f>
        <v>-9.67788530983682E-3</v>
      </c>
      <c r="N8" s="55">
        <f>'Segmental forecast'!N12</f>
        <v>-9.67788530983682E-3</v>
      </c>
    </row>
    <row r="9" spans="1:15" x14ac:dyDescent="0.45">
      <c r="A9" s="42" t="s">
        <v>131</v>
      </c>
      <c r="B9" s="55">
        <f>'Segmental forecast'!B13</f>
        <v>13.832881278389594</v>
      </c>
      <c r="C9" s="55">
        <f>'Segmental forecast'!C13</f>
        <v>14.337781072399308</v>
      </c>
      <c r="D9" s="55">
        <f>'Segmental forecast'!D13</f>
        <v>14.395924308588064</v>
      </c>
      <c r="E9" s="55">
        <f>'Segmental forecast'!E13</f>
        <v>12.03121136357392</v>
      </c>
      <c r="F9" s="55">
        <f>'Segmental forecast'!F13</f>
        <v>12.39870133190173</v>
      </c>
      <c r="G9" s="55">
        <f>'Segmental forecast'!G13</f>
        <v>7.9565810229126015</v>
      </c>
      <c r="H9" s="55">
        <f>'Segmental forecast'!H13</f>
        <v>15.544029817234719</v>
      </c>
      <c r="I9" s="55">
        <f>'Segmental forecast'!I13</f>
        <v>14.677799186469706</v>
      </c>
      <c r="J9" s="55">
        <f>'Segmental forecast'!J13</f>
        <v>13.85984146269845</v>
      </c>
      <c r="K9" s="55">
        <f>'Segmental forecast'!K13</f>
        <v>13.087466515294224</v>
      </c>
      <c r="L9" s="55">
        <f>'Segmental forecast'!L13</f>
        <v>12.358134128007531</v>
      </c>
      <c r="M9" s="55">
        <f>'Segmental forecast'!M13</f>
        <v>11.669445644605803</v>
      </c>
      <c r="N9" s="55">
        <f>'Segmental forecast'!N13</f>
        <v>11.019136080081097</v>
      </c>
    </row>
    <row r="10" spans="1:15" x14ac:dyDescent="0.45">
      <c r="A10" s="2" t="s">
        <v>24</v>
      </c>
      <c r="B10" s="3">
        <f>Historicals!B11</f>
        <v>932</v>
      </c>
      <c r="C10" s="3">
        <f>Historicals!C11</f>
        <v>863</v>
      </c>
      <c r="D10" s="3">
        <f>Historicals!D11</f>
        <v>646</v>
      </c>
      <c r="E10" s="3">
        <f>Historicals!E11</f>
        <v>2392</v>
      </c>
      <c r="F10" s="3">
        <f>Historicals!F11</f>
        <v>772</v>
      </c>
      <c r="G10" s="3">
        <f>Historicals!G11</f>
        <v>348</v>
      </c>
      <c r="H10" s="3">
        <f>Historicals!H11</f>
        <v>934</v>
      </c>
      <c r="I10" s="3">
        <f>Historicals!I11</f>
        <v>605</v>
      </c>
      <c r="J10" s="3"/>
      <c r="K10" s="3"/>
      <c r="L10" s="3"/>
      <c r="M10" s="3"/>
      <c r="N10" s="3"/>
    </row>
    <row r="11" spans="1:15" x14ac:dyDescent="0.45">
      <c r="A11" s="4" t="s">
        <v>144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  <c r="O11" s="69"/>
    </row>
    <row r="12" spans="1:15" x14ac:dyDescent="0.4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45">
      <c r="A13" s="51" t="s">
        <v>145</v>
      </c>
      <c r="B13" s="57">
        <f>B12/B11</f>
        <v>0.22164090368608799</v>
      </c>
      <c r="C13" s="57">
        <f t="shared" ref="C13:I13" si="2">C12/C11</f>
        <v>0.18667531905688947</v>
      </c>
      <c r="D13" s="57">
        <f t="shared" si="2"/>
        <v>0.13221449038067951</v>
      </c>
      <c r="E13" s="57">
        <f t="shared" si="2"/>
        <v>0.55306358381502885</v>
      </c>
      <c r="F13" s="57">
        <f t="shared" si="2"/>
        <v>0.16079983336804832</v>
      </c>
      <c r="G13" s="57">
        <f t="shared" si="2"/>
        <v>0.12054035330793211</v>
      </c>
      <c r="H13" s="57">
        <f t="shared" si="2"/>
        <v>0.14021918630836211</v>
      </c>
      <c r="I13" s="57">
        <f t="shared" si="2"/>
        <v>9.0963764847391368E-2</v>
      </c>
      <c r="J13" s="58"/>
      <c r="K13" s="58"/>
      <c r="L13" s="58"/>
      <c r="M13" s="58"/>
      <c r="N13" s="58"/>
    </row>
    <row r="14" spans="1:15" ht="14.65" thickBot="1" x14ac:dyDescent="0.5">
      <c r="A14" s="6" t="s">
        <v>146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5" ht="14.45" customHeight="1" thickTop="1" x14ac:dyDescent="0.45">
      <c r="A15" t="s">
        <v>147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</row>
    <row r="16" spans="1:15" x14ac:dyDescent="0.45">
      <c r="A16" t="s">
        <v>148</v>
      </c>
      <c r="B16" s="59">
        <f>Historicals!B14</f>
        <v>3.8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/>
      <c r="K16" s="59"/>
      <c r="L16" s="59"/>
      <c r="M16" s="59"/>
      <c r="N16" s="59"/>
    </row>
    <row r="17" spans="1:14" x14ac:dyDescent="0.45">
      <c r="A17" t="s">
        <v>149</v>
      </c>
      <c r="B17" s="59">
        <f>Historicals!B15</f>
        <v>3.7</v>
      </c>
      <c r="C17" s="59">
        <f>Historicals!C15</f>
        <v>2.16</v>
      </c>
      <c r="D17" s="59">
        <f>Historicals!D15</f>
        <v>2.5099999999999998</v>
      </c>
      <c r="E17" s="59">
        <f>Historicals!E15</f>
        <v>1.17</v>
      </c>
      <c r="F17" s="59">
        <f>Historicals!F15</f>
        <v>2.4900000000000002</v>
      </c>
      <c r="G17" s="59">
        <f>Historicals!G15</f>
        <v>1.6</v>
      </c>
      <c r="H17" s="59">
        <f>Historicals!H15</f>
        <v>3.56</v>
      </c>
      <c r="I17" s="59">
        <f>Historicals!I15</f>
        <v>3.75</v>
      </c>
      <c r="J17" s="59">
        <f>I17*(1+$I$18)</f>
        <v>3.9501404494382024</v>
      </c>
      <c r="K17" s="59">
        <f t="shared" ref="K17:N17" si="3">J17*(1+$I$18)</f>
        <v>4.1609625520767581</v>
      </c>
      <c r="L17" s="59">
        <f t="shared" si="3"/>
        <v>4.3830363961482712</v>
      </c>
      <c r="M17" s="59">
        <f t="shared" si="3"/>
        <v>4.616962495942702</v>
      </c>
      <c r="N17" s="59">
        <f t="shared" si="3"/>
        <v>4.8633734156699813</v>
      </c>
    </row>
    <row r="18" spans="1:14" x14ac:dyDescent="0.45">
      <c r="A18" s="51" t="s">
        <v>129</v>
      </c>
      <c r="B18" s="57" t="s">
        <v>200</v>
      </c>
      <c r="C18" s="57">
        <f>(C17/B17)-1</f>
        <v>-0.41621621621621618</v>
      </c>
      <c r="D18" s="57">
        <f t="shared" ref="D18:I18" si="4">(D17/C17)-1</f>
        <v>0.16203703703703676</v>
      </c>
      <c r="E18" s="57">
        <f t="shared" si="4"/>
        <v>-0.53386454183266929</v>
      </c>
      <c r="F18" s="57">
        <f t="shared" si="4"/>
        <v>1.1282051282051286</v>
      </c>
      <c r="G18" s="57">
        <f t="shared" si="4"/>
        <v>-0.35742971887550201</v>
      </c>
      <c r="H18" s="57">
        <f t="shared" si="4"/>
        <v>1.2250000000000001</v>
      </c>
      <c r="I18" s="57">
        <f t="shared" si="4"/>
        <v>5.3370786516854007E-2</v>
      </c>
      <c r="J18" s="58"/>
      <c r="K18" s="58"/>
      <c r="L18" s="58"/>
      <c r="M18" s="58"/>
      <c r="N18" s="58"/>
    </row>
    <row r="19" spans="1:14" x14ac:dyDescent="0.45">
      <c r="A19" s="51" t="s">
        <v>150</v>
      </c>
      <c r="B19" s="57">
        <f>B17/B16</f>
        <v>0.97368421052631593</v>
      </c>
      <c r="C19" s="57">
        <f t="shared" ref="C19:I19" si="5">C17/C16</f>
        <v>0.97737556561085981</v>
      </c>
      <c r="D19" s="57">
        <f t="shared" si="5"/>
        <v>0.98046874999999989</v>
      </c>
      <c r="E19" s="57">
        <f t="shared" si="5"/>
        <v>0.98319327731092432</v>
      </c>
      <c r="F19" s="57">
        <f t="shared" si="5"/>
        <v>0.97647058823529431</v>
      </c>
      <c r="G19" s="57">
        <f t="shared" si="5"/>
        <v>0.98159509202453998</v>
      </c>
      <c r="H19" s="57">
        <f t="shared" si="5"/>
        <v>0.97802197802197799</v>
      </c>
      <c r="I19" s="57">
        <f t="shared" si="5"/>
        <v>0.97911227154046998</v>
      </c>
      <c r="J19" s="57"/>
      <c r="K19" s="57"/>
      <c r="L19" s="57"/>
      <c r="M19" s="57"/>
      <c r="N19" s="57"/>
    </row>
    <row r="20" spans="1:14" x14ac:dyDescent="0.45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4" x14ac:dyDescent="0.4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4" x14ac:dyDescent="0.45">
      <c r="A22" t="s">
        <v>153</v>
      </c>
      <c r="B22" s="3">
        <f>Historicals!B47</f>
        <v>1079</v>
      </c>
      <c r="C22" s="3">
        <f>Historicals!C47</f>
        <v>2010</v>
      </c>
      <c r="D22" s="3">
        <f>Historicals!D47</f>
        <v>3471</v>
      </c>
      <c r="E22" s="3">
        <f>Historicals!E47</f>
        <v>3468</v>
      </c>
      <c r="F22" s="3">
        <f>Historicals!F47</f>
        <v>3464</v>
      </c>
      <c r="G22" s="3">
        <f>Historicals!G47</f>
        <v>9406</v>
      </c>
      <c r="H22" s="3">
        <f>Historicals!H47</f>
        <v>9413</v>
      </c>
      <c r="I22" s="3">
        <f>Historicals!I47</f>
        <v>8920</v>
      </c>
      <c r="J22" s="3"/>
      <c r="K22" s="3"/>
      <c r="L22" s="3"/>
      <c r="M22" s="3"/>
      <c r="N22" s="3"/>
    </row>
    <row r="23" spans="1:14" x14ac:dyDescent="0.45">
      <c r="A23" t="s">
        <v>154</v>
      </c>
      <c r="B23" s="3">
        <f>Historicals!B37-Historicals!B46</f>
        <v>15266</v>
      </c>
      <c r="C23" s="3">
        <f>Historicals!C37-Historicals!C46</f>
        <v>16038</v>
      </c>
      <c r="D23" s="3">
        <f>Historicals!D37-Historicals!D46</f>
        <v>17785</v>
      </c>
      <c r="E23" s="3">
        <f>Historicals!E37-Historicals!E46</f>
        <v>16496</v>
      </c>
      <c r="F23" s="3">
        <f>Historicals!F37-Historicals!F46</f>
        <v>15851</v>
      </c>
      <c r="G23" s="3">
        <f>Historicals!G37-Historicals!G46</f>
        <v>23058</v>
      </c>
      <c r="H23" s="3">
        <f>Historicals!H37-Historicals!H46</f>
        <v>28066</v>
      </c>
      <c r="I23" s="3">
        <f>Historicals!I37-Historicals!I46</f>
        <v>29591</v>
      </c>
      <c r="J23" s="3"/>
      <c r="K23" s="3"/>
      <c r="L23" s="3"/>
      <c r="M23" s="3"/>
      <c r="N23" s="3"/>
    </row>
    <row r="24" spans="1:14" x14ac:dyDescent="0.45">
      <c r="A24" s="51" t="s">
        <v>155</v>
      </c>
      <c r="B24" s="57">
        <f>(B23/B3)</f>
        <v>0.4988725858632071</v>
      </c>
      <c r="C24" s="57">
        <f t="shared" ref="C24:I24" si="6">(C23/C3)</f>
        <v>0.49536693847294294</v>
      </c>
      <c r="D24" s="57">
        <f t="shared" si="6"/>
        <v>0.51775836972343525</v>
      </c>
      <c r="E24" s="57">
        <f t="shared" si="6"/>
        <v>0.45322416682693628</v>
      </c>
      <c r="F24" s="57">
        <f t="shared" si="6"/>
        <v>0.40522023672572027</v>
      </c>
      <c r="G24" s="57">
        <f t="shared" si="6"/>
        <v>0.61647461433574846</v>
      </c>
      <c r="H24" s="57">
        <f t="shared" si="6"/>
        <v>0.63015851632313979</v>
      </c>
      <c r="I24" s="57">
        <f t="shared" si="6"/>
        <v>0.63350460286876475</v>
      </c>
      <c r="J24" s="58"/>
      <c r="K24" s="58"/>
      <c r="L24" s="58"/>
      <c r="M24" s="58"/>
      <c r="N24" s="58"/>
    </row>
    <row r="25" spans="1:14" x14ac:dyDescent="0.45">
      <c r="A25" t="s">
        <v>156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/>
      <c r="K25" s="3"/>
      <c r="L25" s="3"/>
      <c r="M25" s="3"/>
      <c r="N25" s="3"/>
    </row>
    <row r="26" spans="1:14" x14ac:dyDescent="0.45">
      <c r="A26" t="s">
        <v>157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/>
      <c r="K26" s="3"/>
      <c r="L26" s="3"/>
      <c r="M26" s="3"/>
      <c r="N26" s="3"/>
    </row>
    <row r="27" spans="1:14" x14ac:dyDescent="0.45">
      <c r="A27" t="s">
        <v>158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/>
      <c r="K27" s="3"/>
      <c r="L27" s="3"/>
      <c r="M27" s="3"/>
      <c r="N27" s="3"/>
    </row>
    <row r="28" spans="1:14" x14ac:dyDescent="0.4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/>
      <c r="K28" s="3"/>
      <c r="L28" s="3"/>
      <c r="M28" s="3"/>
      <c r="N28" s="3"/>
    </row>
    <row r="29" spans="1:14" x14ac:dyDescent="0.45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/>
      <c r="K29" s="3"/>
      <c r="L29" s="3"/>
      <c r="M29" s="3"/>
      <c r="N29" s="3"/>
    </row>
    <row r="30" spans="1:14" x14ac:dyDescent="0.45">
      <c r="A30" t="s">
        <v>159</v>
      </c>
      <c r="B30" s="3">
        <f>Historicals!B30</f>
        <v>1968</v>
      </c>
      <c r="C30" s="3">
        <f>Historicals!C30</f>
        <v>0</v>
      </c>
      <c r="D30" s="3">
        <f>Historicals!D30</f>
        <v>1150</v>
      </c>
      <c r="E30" s="3">
        <f>Historicals!E30</f>
        <v>1130</v>
      </c>
      <c r="F30" s="3">
        <f>Historicals!F30</f>
        <v>1968</v>
      </c>
      <c r="G30" s="3">
        <f>Historicals!G30</f>
        <v>1653</v>
      </c>
      <c r="H30" s="3">
        <f>Historicals!H30</f>
        <v>1498</v>
      </c>
      <c r="I30" s="3">
        <f>Historicals!I30</f>
        <v>2129</v>
      </c>
      <c r="J30" s="3"/>
      <c r="K30" s="3"/>
      <c r="L30" s="3"/>
      <c r="M30" s="3"/>
      <c r="N30" s="3"/>
    </row>
    <row r="31" spans="1:14" ht="14.65" thickBot="1" x14ac:dyDescent="0.5">
      <c r="A31" s="6" t="s">
        <v>160</v>
      </c>
      <c r="B31" s="7">
        <f>B21+B22+B23+B25+B26+B27+B28+B29+B30</f>
        <v>25588</v>
      </c>
      <c r="C31" s="7">
        <f t="shared" ref="C31:I31" si="7">C21+C22+C23+C25+C26+C27+C28+C29+C30</f>
        <v>25118</v>
      </c>
      <c r="D31" s="7">
        <f t="shared" si="7"/>
        <v>30625</v>
      </c>
      <c r="E31" s="7">
        <f t="shared" si="7"/>
        <v>30236</v>
      </c>
      <c r="F31" s="7">
        <f t="shared" si="7"/>
        <v>30930</v>
      </c>
      <c r="G31" s="7">
        <f t="shared" si="7"/>
        <v>50925</v>
      </c>
      <c r="H31" s="7">
        <f t="shared" si="7"/>
        <v>57394</v>
      </c>
      <c r="I31" s="7">
        <f t="shared" si="7"/>
        <v>57501</v>
      </c>
      <c r="J31" s="7"/>
      <c r="K31" s="7"/>
      <c r="L31" s="7"/>
      <c r="M31" s="7"/>
      <c r="N31" s="7"/>
    </row>
    <row r="32" spans="1:14" ht="14.65" thickTop="1" x14ac:dyDescent="0.45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45">
      <c r="A33" s="2" t="s">
        <v>45</v>
      </c>
      <c r="B33" s="3">
        <f>Historicals!B47</f>
        <v>1079</v>
      </c>
      <c r="C33" s="3">
        <f>Historicals!C47</f>
        <v>2010</v>
      </c>
      <c r="D33" s="3">
        <f>Historicals!D47</f>
        <v>3471</v>
      </c>
      <c r="E33" s="3">
        <f>Historicals!E47</f>
        <v>3468</v>
      </c>
      <c r="F33" s="3">
        <f>Historicals!F47</f>
        <v>3464</v>
      </c>
      <c r="G33" s="3">
        <f>Historicals!G47</f>
        <v>9406</v>
      </c>
      <c r="H33" s="3">
        <f>Historicals!H47</f>
        <v>9413</v>
      </c>
      <c r="I33" s="3">
        <f>Historicals!I47</f>
        <v>8920</v>
      </c>
      <c r="J33" s="3"/>
      <c r="K33" s="3"/>
      <c r="L33" s="3"/>
      <c r="M33" s="3"/>
      <c r="N33" s="3"/>
      <c r="P33" s="67"/>
    </row>
    <row r="34" spans="1:16" x14ac:dyDescent="0.4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/>
      <c r="K34" s="3"/>
      <c r="L34" s="3"/>
      <c r="M34" s="3"/>
      <c r="N34" s="3"/>
    </row>
    <row r="35" spans="1:16" x14ac:dyDescent="0.45">
      <c r="A35" t="s">
        <v>162</v>
      </c>
      <c r="B35" s="3">
        <f>Historicals!B45</f>
        <v>71</v>
      </c>
      <c r="C35" s="3">
        <f>Historicals!C45</f>
        <v>85</v>
      </c>
      <c r="D35" s="3">
        <f>Historicals!D45</f>
        <v>84</v>
      </c>
      <c r="E35" s="3">
        <f>Historicals!E45</f>
        <v>150</v>
      </c>
      <c r="F35" s="3">
        <f>Historicals!F45</f>
        <v>229</v>
      </c>
      <c r="G35" s="3">
        <f>Historicals!G45</f>
        <v>156</v>
      </c>
      <c r="H35" s="3">
        <f>Historicals!H45</f>
        <v>306</v>
      </c>
      <c r="I35" s="3">
        <f>Historicals!I45</f>
        <v>222</v>
      </c>
      <c r="J35" s="3"/>
      <c r="K35" s="3"/>
      <c r="L35" s="3"/>
      <c r="M35" s="3"/>
      <c r="N35" s="3"/>
    </row>
    <row r="36" spans="1:16" x14ac:dyDescent="0.45">
      <c r="A36" t="s">
        <v>49</v>
      </c>
      <c r="B36" s="3">
        <f>Historicals!B40</f>
        <v>107</v>
      </c>
      <c r="C36" s="3">
        <f>Historicals!C40</f>
        <v>44</v>
      </c>
      <c r="D36" s="3">
        <f>Historicals!D40</f>
        <v>6</v>
      </c>
      <c r="E36" s="3">
        <f>Historicals!E40</f>
        <v>6</v>
      </c>
      <c r="F36" s="3">
        <f>Historicals!F40</f>
        <v>6</v>
      </c>
      <c r="G36" s="3">
        <f>Historicals!G40</f>
        <v>3</v>
      </c>
      <c r="H36" s="3">
        <f>Historicals!H40</f>
        <v>0</v>
      </c>
      <c r="I36" s="3">
        <f>Historicals!I40</f>
        <v>500</v>
      </c>
      <c r="J36" s="3"/>
      <c r="K36" s="3"/>
      <c r="L36" s="3"/>
      <c r="M36" s="3"/>
      <c r="N36" s="3"/>
    </row>
    <row r="37" spans="1:16" x14ac:dyDescent="0.45">
      <c r="A37" s="53" t="s">
        <v>50</v>
      </c>
      <c r="B37" s="3">
        <v>0</v>
      </c>
      <c r="C37" s="3">
        <v>1</v>
      </c>
      <c r="D37" s="3">
        <v>2</v>
      </c>
      <c r="E37" s="3">
        <v>3</v>
      </c>
      <c r="F37" s="3">
        <v>4</v>
      </c>
      <c r="G37" s="3">
        <v>5</v>
      </c>
      <c r="H37" s="3">
        <v>6</v>
      </c>
      <c r="I37" s="3">
        <v>7</v>
      </c>
      <c r="J37" s="3"/>
      <c r="K37" s="3"/>
      <c r="L37" s="3"/>
      <c r="M37" s="3"/>
      <c r="N37" s="3"/>
    </row>
    <row r="38" spans="1:16" x14ac:dyDescent="0.45">
      <c r="A38" t="s">
        <v>163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/>
      <c r="K38" s="3"/>
      <c r="L38" s="3"/>
      <c r="M38" s="3"/>
      <c r="N38" s="3"/>
    </row>
    <row r="39" spans="1:16" x14ac:dyDescent="0.45">
      <c r="A39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45">
      <c r="A40" s="2" t="s">
        <v>165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/>
      <c r="K40" s="3"/>
      <c r="L40" s="3"/>
      <c r="M40" s="3"/>
      <c r="N40" s="3"/>
    </row>
    <row r="41" spans="1:16" x14ac:dyDescent="0.45">
      <c r="A41" s="2" t="s">
        <v>166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/>
      <c r="K41" s="3"/>
      <c r="L41" s="3"/>
      <c r="M41" s="3"/>
      <c r="N41" s="3"/>
    </row>
    <row r="42" spans="1:16" x14ac:dyDescent="0.45">
      <c r="A42" s="2" t="s">
        <v>167</v>
      </c>
      <c r="B42" s="3">
        <f>Historicals!B56</f>
        <v>6773</v>
      </c>
      <c r="C42" s="3">
        <f>Historicals!C56</f>
        <v>7786</v>
      </c>
      <c r="D42" s="3">
        <f>Historicals!D56</f>
        <v>8638</v>
      </c>
      <c r="E42" s="3">
        <f>Historicals!E56</f>
        <v>6384</v>
      </c>
      <c r="F42" s="3">
        <f>Historicals!F56</f>
        <v>7163</v>
      </c>
      <c r="G42" s="3">
        <f>Historicals!G56</f>
        <v>8299</v>
      </c>
      <c r="H42" s="3">
        <f>Historicals!H56</f>
        <v>9965</v>
      </c>
      <c r="I42" s="3">
        <f>Historicals!I56</f>
        <v>11484</v>
      </c>
      <c r="J42" s="3"/>
      <c r="K42" s="3"/>
      <c r="L42" s="3"/>
      <c r="M42" s="3"/>
      <c r="N42" s="3"/>
    </row>
    <row r="43" spans="1:16" ht="14.65" thickBot="1" x14ac:dyDescent="0.5">
      <c r="A43" s="6" t="s">
        <v>168</v>
      </c>
      <c r="B43" s="7">
        <f>B33+B34+B35+B36+B37+B38+B39+B40+B41+B42</f>
        <v>14272</v>
      </c>
      <c r="C43" s="7">
        <f t="shared" ref="C43:I43" si="8">C33+C34+C35+C36+C37+C38+C39+C40+C41+C42</f>
        <v>15851</v>
      </c>
      <c r="D43" s="7">
        <f t="shared" si="8"/>
        <v>18415</v>
      </c>
      <c r="E43" s="7">
        <f t="shared" si="8"/>
        <v>17083</v>
      </c>
      <c r="F43" s="7">
        <f t="shared" si="8"/>
        <v>15868</v>
      </c>
      <c r="G43" s="7">
        <f t="shared" si="8"/>
        <v>20613</v>
      </c>
      <c r="H43" s="7">
        <f t="shared" si="8"/>
        <v>25829</v>
      </c>
      <c r="I43" s="7">
        <f t="shared" si="8"/>
        <v>27235</v>
      </c>
      <c r="J43" s="7"/>
      <c r="K43" s="7"/>
      <c r="L43" s="7"/>
      <c r="M43" s="7"/>
      <c r="N43" s="7"/>
    </row>
    <row r="44" spans="1:16" ht="14.65" thickTop="1" x14ac:dyDescent="0.45">
      <c r="A44" s="54" t="s">
        <v>169</v>
      </c>
      <c r="B44" s="68">
        <f>B31-B43</f>
        <v>11316</v>
      </c>
      <c r="C44" s="68">
        <f t="shared" ref="C44:I44" si="9">C31-C43</f>
        <v>9267</v>
      </c>
      <c r="D44" s="68">
        <f t="shared" si="9"/>
        <v>12210</v>
      </c>
      <c r="E44" s="68">
        <f t="shared" si="9"/>
        <v>13153</v>
      </c>
      <c r="F44" s="68">
        <f t="shared" si="9"/>
        <v>15062</v>
      </c>
      <c r="G44" s="68">
        <f t="shared" si="9"/>
        <v>30312</v>
      </c>
      <c r="H44" s="68">
        <f t="shared" si="9"/>
        <v>31565</v>
      </c>
      <c r="I44" s="68">
        <f t="shared" si="9"/>
        <v>30266</v>
      </c>
      <c r="J44" s="54"/>
      <c r="K44" s="54"/>
      <c r="L44" s="54"/>
      <c r="M44" s="54"/>
      <c r="N44" s="54"/>
    </row>
    <row r="45" spans="1:16" x14ac:dyDescent="0.45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6" x14ac:dyDescent="0.4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6" x14ac:dyDescent="0.45">
      <c r="A47" t="s">
        <v>132</v>
      </c>
      <c r="B47" s="60">
        <f>'Segmental forecast'!B8</f>
        <v>606</v>
      </c>
      <c r="C47" s="60">
        <f>'Segmental forecast'!C8</f>
        <v>649</v>
      </c>
      <c r="D47" s="60">
        <f>'Segmental forecast'!D8</f>
        <v>706</v>
      </c>
      <c r="E47" s="60">
        <f>'Segmental forecast'!E8</f>
        <v>747</v>
      </c>
      <c r="F47" s="60">
        <f>'Segmental forecast'!F8</f>
        <v>705</v>
      </c>
      <c r="G47" s="60">
        <f>'Segmental forecast'!G8</f>
        <v>721</v>
      </c>
      <c r="H47" s="60">
        <f>'Segmental forecast'!H8</f>
        <v>744</v>
      </c>
      <c r="I47" s="60">
        <f>'Segmental forecast'!I8</f>
        <v>717</v>
      </c>
      <c r="J47" s="60"/>
      <c r="K47" s="60"/>
      <c r="L47" s="60"/>
      <c r="M47" s="60"/>
      <c r="N47" s="60"/>
    </row>
    <row r="48" spans="1:16" x14ac:dyDescent="0.45">
      <c r="A48" t="s">
        <v>171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/>
      <c r="K48" s="3"/>
      <c r="L48" s="3"/>
      <c r="M48" s="3"/>
      <c r="N48" s="3"/>
    </row>
    <row r="49" spans="1:14" x14ac:dyDescent="0.45">
      <c r="A49" s="1" t="s">
        <v>172</v>
      </c>
      <c r="B49" s="9">
        <f>B46+B47-B48</f>
        <v>3577</v>
      </c>
      <c r="C49" s="9">
        <f t="shared" ref="C49:I49" si="10">C46+C47-C48</f>
        <v>4543</v>
      </c>
      <c r="D49" s="9">
        <f t="shared" si="10"/>
        <v>4948</v>
      </c>
      <c r="E49" s="9">
        <f t="shared" si="10"/>
        <v>4597</v>
      </c>
      <c r="F49" s="9">
        <f t="shared" si="10"/>
        <v>4798</v>
      </c>
      <c r="G49" s="9">
        <f t="shared" si="10"/>
        <v>2669</v>
      </c>
      <c r="H49" s="9">
        <f t="shared" si="10"/>
        <v>6490</v>
      </c>
      <c r="I49" s="9">
        <f t="shared" si="10"/>
        <v>6342</v>
      </c>
      <c r="J49" s="9"/>
      <c r="K49" s="9"/>
      <c r="L49" s="9"/>
      <c r="M49" s="9"/>
      <c r="N49" s="9"/>
    </row>
    <row r="50" spans="1:14" x14ac:dyDescent="0.4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/>
      <c r="L50" s="3"/>
      <c r="M50" s="3"/>
      <c r="N50" s="3"/>
    </row>
    <row r="51" spans="1:14" x14ac:dyDescent="0.45">
      <c r="A51" t="s">
        <v>174</v>
      </c>
      <c r="B51" s="3">
        <f>(Historicals!B73+Historicals!B74+Historicals!B75+Historicals!B76)</f>
        <v>256</v>
      </c>
      <c r="C51" s="3">
        <f>(Historicals!C73+Historicals!C74+Historicals!C75+Historicals!C76)</f>
        <v>-1580</v>
      </c>
      <c r="D51" s="3">
        <f>(Historicals!D73+Historicals!D74+Historicals!D75+Historicals!D76)</f>
        <v>-1141</v>
      </c>
      <c r="E51" s="3">
        <f>(Historicals!E73+Historicals!E74+Historicals!E75+Historicals!E76)</f>
        <v>1482</v>
      </c>
      <c r="F51" s="3">
        <f>(Historicals!F73+Historicals!F74+Historicals!F75+Historicals!F76)</f>
        <v>562</v>
      </c>
      <c r="G51" s="3">
        <f>(Historicals!G73+Historicals!G74+Historicals!G75+Historicals!G76)</f>
        <v>-1245</v>
      </c>
      <c r="H51" s="3">
        <f>(Historicals!H73+Historicals!H74+Historicals!H75+Historicals!H76)</f>
        <v>45</v>
      </c>
      <c r="I51" s="3">
        <f>(Historicals!I73+Historicals!I74+Historicals!I75+Historicals!I76)</f>
        <v>-1660</v>
      </c>
      <c r="J51" s="3"/>
      <c r="K51" s="3"/>
      <c r="L51" s="3"/>
      <c r="M51" s="3"/>
      <c r="N51" s="3"/>
    </row>
    <row r="52" spans="1:14" x14ac:dyDescent="0.45">
      <c r="A52" t="s">
        <v>135</v>
      </c>
      <c r="B52" s="3">
        <f>Historicals!B83+Historicals!B84</f>
        <v>-960</v>
      </c>
      <c r="C52" s="3">
        <f>Historicals!C83+Historicals!C84</f>
        <v>-1133</v>
      </c>
      <c r="D52" s="3">
        <f>Historicals!D83+Historicals!D84</f>
        <v>-1092</v>
      </c>
      <c r="E52" s="3">
        <f>Historicals!E83+Historicals!E84</f>
        <v>-1025</v>
      </c>
      <c r="F52" s="3">
        <f>Historicals!F83+Historicals!F84</f>
        <v>-1114</v>
      </c>
      <c r="G52" s="3">
        <f>Historicals!G83+Historicals!G84</f>
        <v>-1055</v>
      </c>
      <c r="H52" s="3">
        <f>Historicals!H83+Historicals!H84</f>
        <v>-695</v>
      </c>
      <c r="I52" s="3">
        <f>Historicals!I83+Historicals!I84</f>
        <v>-758</v>
      </c>
      <c r="J52" s="3"/>
      <c r="K52" s="3"/>
      <c r="L52" s="3"/>
      <c r="M52" s="3"/>
      <c r="N52" s="3"/>
    </row>
    <row r="53" spans="1:14" x14ac:dyDescent="0.45">
      <c r="A53" s="1" t="s">
        <v>175</v>
      </c>
      <c r="B53" s="9">
        <f>SUM(B46:B52)</f>
        <v>9027</v>
      </c>
      <c r="C53" s="9">
        <f t="shared" ref="C53:I53" si="11">SUM(C46:C52)</f>
        <v>7939</v>
      </c>
      <c r="D53" s="9">
        <f t="shared" si="11"/>
        <v>9167</v>
      </c>
      <c r="E53" s="9">
        <f t="shared" si="11"/>
        <v>10834</v>
      </c>
      <c r="F53" s="9">
        <f t="shared" si="11"/>
        <v>10711</v>
      </c>
      <c r="G53" s="9">
        <f t="shared" si="11"/>
        <v>5234</v>
      </c>
      <c r="H53" s="9">
        <f t="shared" si="11"/>
        <v>14977</v>
      </c>
      <c r="I53" s="9">
        <f t="shared" si="11"/>
        <v>13018</v>
      </c>
      <c r="J53" s="9"/>
      <c r="K53" s="9"/>
      <c r="L53" s="9"/>
      <c r="M53" s="9"/>
      <c r="N53" s="9"/>
    </row>
    <row r="54" spans="1:14" x14ac:dyDescent="0.45">
      <c r="A54" t="s">
        <v>176</v>
      </c>
      <c r="B54" s="3">
        <f>(Historicals!B68+Historicals!B69+Historicals!B70+Historicals!B71)</f>
        <v>545</v>
      </c>
      <c r="C54" s="3">
        <f>(Historicals!C68+Historicals!C69+Historicals!C70+Historicals!C71)</f>
        <v>267</v>
      </c>
      <c r="D54" s="3">
        <f>(Historicals!D68+Historicals!D69+Historicals!D70+Historicals!D71)</f>
        <v>-165</v>
      </c>
      <c r="E54" s="3">
        <f>(Historicals!E68+Historicals!E69+Historicals!E70+Historicals!E71)</f>
        <v>793</v>
      </c>
      <c r="F54" s="3">
        <f>(Historicals!F68+Historicals!F69+Historicals!F70+Historicals!F71)</f>
        <v>607</v>
      </c>
      <c r="G54" s="3">
        <f>(Historicals!G68+Historicals!G69+Historicals!G70+Historicals!G71)</f>
        <v>470</v>
      </c>
      <c r="H54" s="3">
        <f>(Historicals!H68+Historicals!H69+Historicals!H70+Historicals!H71)</f>
        <v>141</v>
      </c>
      <c r="I54" s="3">
        <f>(Historicals!I68+Historicals!I69+Historicals!I70+Historicals!I71)</f>
        <v>85</v>
      </c>
      <c r="J54" s="3"/>
      <c r="K54" s="3"/>
      <c r="L54" s="3"/>
      <c r="M54" s="3"/>
      <c r="N54" s="3"/>
    </row>
    <row r="55" spans="1:14" x14ac:dyDescent="0.45">
      <c r="A55" s="27" t="s">
        <v>177</v>
      </c>
      <c r="B55" s="26">
        <f>B53+B54</f>
        <v>9572</v>
      </c>
      <c r="C55" s="26">
        <f t="shared" ref="C55:I55" si="12">C53+C54</f>
        <v>8206</v>
      </c>
      <c r="D55" s="26">
        <f t="shared" si="12"/>
        <v>9002</v>
      </c>
      <c r="E55" s="26">
        <f t="shared" si="12"/>
        <v>11627</v>
      </c>
      <c r="F55" s="26">
        <f t="shared" si="12"/>
        <v>11318</v>
      </c>
      <c r="G55" s="26">
        <f t="shared" si="12"/>
        <v>5704</v>
      </c>
      <c r="H55" s="26">
        <f t="shared" si="12"/>
        <v>15118</v>
      </c>
      <c r="I55" s="26">
        <f t="shared" si="12"/>
        <v>13103</v>
      </c>
      <c r="J55" s="26"/>
      <c r="K55" s="26"/>
      <c r="L55" s="26"/>
      <c r="M55" s="26"/>
      <c r="N55" s="26"/>
    </row>
    <row r="56" spans="1:14" x14ac:dyDescent="0.45">
      <c r="A56" t="s">
        <v>178</v>
      </c>
      <c r="B56" s="3">
        <f>Historicals!B83</f>
        <v>-963</v>
      </c>
      <c r="C56" s="3">
        <f>Historicals!C83</f>
        <v>-1143</v>
      </c>
      <c r="D56" s="3">
        <f>Historicals!D83</f>
        <v>-1105</v>
      </c>
      <c r="E56" s="3">
        <f>Historicals!E83</f>
        <v>-1028</v>
      </c>
      <c r="F56" s="3">
        <f>Historicals!F83</f>
        <v>-1119</v>
      </c>
      <c r="G56" s="3">
        <f>Historicals!G83</f>
        <v>-1086</v>
      </c>
      <c r="H56" s="3">
        <f>Historicals!H83</f>
        <v>-695</v>
      </c>
      <c r="I56" s="3">
        <f>Historicals!I83</f>
        <v>-758</v>
      </c>
      <c r="J56" s="3"/>
      <c r="K56" s="3"/>
      <c r="L56" s="3"/>
      <c r="M56" s="3"/>
      <c r="N56" s="3"/>
    </row>
    <row r="57" spans="1:14" x14ac:dyDescent="0.45">
      <c r="A57" t="s">
        <v>179</v>
      </c>
      <c r="B57" s="3">
        <f>Historicals!B79+Historicals!B80+Historicals!B81+Historicals!B82+Historicals!B85+Historicals!B84</f>
        <v>788</v>
      </c>
      <c r="C57" s="3">
        <f>Historicals!C79+Historicals!C80+Historicals!C81+Historicals!C82+Historicals!C85+Historicals!C84</f>
        <v>109</v>
      </c>
      <c r="D57" s="3">
        <f>Historicals!D79+Historicals!D80+Historicals!D81+Historicals!D82+Historicals!D85+Historicals!D84</f>
        <v>97</v>
      </c>
      <c r="E57" s="3">
        <f>Historicals!E79+Historicals!E80+Historicals!E81+Historicals!E82+Historicals!E85+Historicals!E84</f>
        <v>1304</v>
      </c>
      <c r="F57" s="3">
        <f>Historicals!F79+Historicals!F80+Historicals!F81+Historicals!F82+Historicals!F85+Historicals!F84</f>
        <v>855</v>
      </c>
      <c r="G57" s="3">
        <f>Historicals!G79+Historicals!G80+Historicals!G81+Historicals!G82+Historicals!G85+Historicals!G84</f>
        <v>58</v>
      </c>
      <c r="H57" s="3">
        <f>Historicals!H79+Historicals!H80+Historicals!H81+Historicals!H82+Historicals!H85+Historicals!H84</f>
        <v>-3105</v>
      </c>
      <c r="I57" s="3">
        <f>Historicals!I79+Historicals!I80+Historicals!I81+Historicals!I82+Historicals!I85+Historicals!I84</f>
        <v>-766</v>
      </c>
      <c r="J57" s="3"/>
      <c r="K57" s="3"/>
      <c r="L57" s="3"/>
      <c r="M57" s="3"/>
      <c r="N57" s="3"/>
    </row>
    <row r="58" spans="1:14" x14ac:dyDescent="0.45">
      <c r="A58" s="27" t="s">
        <v>180</v>
      </c>
      <c r="B58" s="26">
        <f>SUM(B56:B57)</f>
        <v>-175</v>
      </c>
      <c r="C58" s="26">
        <f t="shared" ref="C58:I58" si="13">SUM(C56:C57)</f>
        <v>-1034</v>
      </c>
      <c r="D58" s="26">
        <f t="shared" si="13"/>
        <v>-1008</v>
      </c>
      <c r="E58" s="26">
        <f t="shared" si="13"/>
        <v>276</v>
      </c>
      <c r="F58" s="26">
        <f t="shared" si="13"/>
        <v>-264</v>
      </c>
      <c r="G58" s="26">
        <f t="shared" si="13"/>
        <v>-1028</v>
      </c>
      <c r="H58" s="26">
        <f t="shared" si="13"/>
        <v>-3800</v>
      </c>
      <c r="I58" s="26">
        <f t="shared" si="13"/>
        <v>-1524</v>
      </c>
      <c r="J58" s="26"/>
      <c r="K58" s="26"/>
      <c r="L58" s="26"/>
      <c r="M58" s="26"/>
      <c r="N58" s="26"/>
    </row>
    <row r="59" spans="1:14" x14ac:dyDescent="0.45">
      <c r="A59" t="s">
        <v>181</v>
      </c>
      <c r="B59" s="3">
        <f>Historicals!B95</f>
        <v>-2534</v>
      </c>
      <c r="C59" s="3">
        <f>Historicals!C95</f>
        <v>-3238</v>
      </c>
      <c r="D59" s="3">
        <f>Historicals!D95</f>
        <v>-3223</v>
      </c>
      <c r="E59" s="3">
        <f>Historicals!E95</f>
        <v>-4254</v>
      </c>
      <c r="F59" s="3">
        <f>Historicals!F95</f>
        <v>-4286</v>
      </c>
      <c r="G59" s="3">
        <f>Historicals!G95</f>
        <v>-3067</v>
      </c>
      <c r="H59" s="3">
        <f>Historicals!H95</f>
        <v>-608</v>
      </c>
      <c r="I59" s="3">
        <f>Historicals!I95</f>
        <v>-4014</v>
      </c>
      <c r="J59" s="3"/>
      <c r="K59" s="3"/>
      <c r="L59" s="61"/>
      <c r="M59" s="3"/>
      <c r="N59" s="3"/>
    </row>
    <row r="60" spans="1:14" x14ac:dyDescent="0.45">
      <c r="A60" s="51" t="s">
        <v>129</v>
      </c>
      <c r="B60" s="57">
        <f>(C59/B59)-1</f>
        <v>0.27782162588792425</v>
      </c>
      <c r="C60" s="57">
        <f t="shared" ref="C60:I60" si="14">(D59/C59)-1</f>
        <v>-4.6324891908585686E-3</v>
      </c>
      <c r="D60" s="57">
        <f t="shared" si="14"/>
        <v>0.31988830282345648</v>
      </c>
      <c r="E60" s="57">
        <f t="shared" si="14"/>
        <v>7.5223319228960861E-3</v>
      </c>
      <c r="F60" s="57">
        <f t="shared" si="14"/>
        <v>-0.28441437237517497</v>
      </c>
      <c r="G60" s="57">
        <f t="shared" si="14"/>
        <v>-0.80176067818715357</v>
      </c>
      <c r="H60" s="57">
        <f t="shared" si="14"/>
        <v>5.6019736842105265</v>
      </c>
      <c r="I60" s="57">
        <f t="shared" si="14"/>
        <v>-1</v>
      </c>
      <c r="J60" s="57"/>
      <c r="K60" s="57"/>
      <c r="L60" s="57"/>
      <c r="M60" s="58"/>
      <c r="N60" s="58"/>
    </row>
    <row r="61" spans="1:14" x14ac:dyDescent="0.4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</row>
    <row r="62" spans="1:14" x14ac:dyDescent="0.45">
      <c r="A62" t="s">
        <v>183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/>
      <c r="K62" s="3"/>
      <c r="L62" s="3"/>
      <c r="M62" s="3"/>
      <c r="N62" s="3"/>
    </row>
    <row r="63" spans="1:14" x14ac:dyDescent="0.45">
      <c r="A63" t="s">
        <v>184</v>
      </c>
      <c r="B63" s="3">
        <f>Historicals!B97+Historicals!C97+Historicals!D97+Historicals!E97+Historicals!F97+Historicals!G97+Historicals!H97+Historicals!I97</f>
        <v>-417</v>
      </c>
      <c r="C63" s="3">
        <f>Historicals!C97+Historicals!D97+Historicals!E97+Historicals!F97+Historicals!G97+Historicals!H97+Historicals!I97+Historicals!J97</f>
        <v>-417</v>
      </c>
      <c r="D63" s="3">
        <f>Historicals!D97+Historicals!E97+Historicals!F97+Historicals!G97+Historicals!H97+Historicals!I97+Historicals!J97+Historicals!K97</f>
        <v>-417</v>
      </c>
      <c r="E63" s="3">
        <f>Historicals!E97+Historicals!F97+Historicals!G97+Historicals!H97+Historicals!I97+Historicals!J97+Historicals!K97+Historicals!L97</f>
        <v>-417</v>
      </c>
      <c r="F63" s="3">
        <f>Historicals!F97+Historicals!G97+Historicals!H97+Historicals!I97+Historicals!J97+Historicals!K97+Historicals!L97+Historicals!M97</f>
        <v>-362</v>
      </c>
      <c r="G63" s="3">
        <f>Historicals!G97+Historicals!H97+Historicals!I97+Historicals!J97+Historicals!K97+Historicals!L97+Historicals!M97+Historicals!N97</f>
        <v>-345</v>
      </c>
      <c r="H63" s="3">
        <f>Historicals!H97+Historicals!I97+Historicals!J97+Historicals!K97+Historicals!L97+Historicals!M97+Historicals!N97+Historicals!O97</f>
        <v>-287</v>
      </c>
      <c r="I63" s="3">
        <f>Historicals!I97+Historicals!J97+Historicals!K97+Historicals!L97+Historicals!M97+Historicals!N97+Historicals!O97+Historicals!P97</f>
        <v>-151</v>
      </c>
      <c r="J63" s="3"/>
      <c r="K63" s="3"/>
      <c r="L63" s="3"/>
      <c r="M63" s="3"/>
      <c r="N63" s="3"/>
    </row>
    <row r="64" spans="1:14" x14ac:dyDescent="0.45">
      <c r="A64" s="27" t="s">
        <v>185</v>
      </c>
      <c r="B64" s="26">
        <f>B59+B61+B62+B63</f>
        <v>-3850</v>
      </c>
      <c r="C64" s="26">
        <f t="shared" ref="C64:I64" si="15">C59+C61+C62+C63</f>
        <v>-3696</v>
      </c>
      <c r="D64" s="26">
        <f t="shared" si="15"/>
        <v>-3291</v>
      </c>
      <c r="E64" s="26">
        <f t="shared" si="15"/>
        <v>-5914</v>
      </c>
      <c r="F64" s="26">
        <f t="shared" si="15"/>
        <v>-5980</v>
      </c>
      <c r="G64" s="26">
        <f t="shared" si="15"/>
        <v>1270</v>
      </c>
      <c r="H64" s="26">
        <f t="shared" si="15"/>
        <v>-2533</v>
      </c>
      <c r="I64" s="26">
        <f t="shared" si="15"/>
        <v>-6002</v>
      </c>
      <c r="J64" s="26"/>
      <c r="K64" s="26"/>
      <c r="L64" s="26"/>
      <c r="M64" s="26"/>
      <c r="N64" s="26"/>
    </row>
    <row r="65" spans="1:14" x14ac:dyDescent="0.45">
      <c r="A65" t="s">
        <v>186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45">
      <c r="A66" s="27" t="s">
        <v>187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45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/>
      <c r="L67" s="3"/>
      <c r="M67" s="3"/>
      <c r="N67" s="3"/>
    </row>
    <row r="68" spans="1:14" ht="14.65" thickBot="1" x14ac:dyDescent="0.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  <c r="K68" s="7"/>
      <c r="L68" s="7"/>
      <c r="M68" s="7"/>
      <c r="N68" s="7"/>
    </row>
    <row r="69" spans="1:14" ht="14.65" thickTop="1" x14ac:dyDescent="0.45">
      <c r="A69" s="1" t="s">
        <v>190</v>
      </c>
      <c r="B69" s="48">
        <f>Historicals!B40+Historicals!B47-(Historicals!B25+Historicals!B26)</f>
        <v>-4738</v>
      </c>
      <c r="C69" s="48">
        <f>Historicals!C40+Historicals!C47-(Historicals!C25+Historicals!C26)</f>
        <v>-3403</v>
      </c>
      <c r="D69" s="48">
        <f>Historicals!D40+Historicals!D47-(Historicals!D25+Historicals!D26)</f>
        <v>-2702</v>
      </c>
      <c r="E69" s="48">
        <f>Historicals!E40+Historicals!E47-(Historicals!E25+Historicals!E26)</f>
        <v>-1771</v>
      </c>
      <c r="F69" s="48">
        <f>Historicals!F40+Historicals!F47-(Historicals!F25+Historicals!F26)</f>
        <v>-1193</v>
      </c>
      <c r="G69" s="48">
        <f>Historicals!G40+Historicals!G47-(Historicals!G25+Historicals!G26)</f>
        <v>622</v>
      </c>
      <c r="H69" s="48">
        <f>Historicals!H40+Historicals!H47-(Historicals!H25+Historicals!H26)</f>
        <v>-4063</v>
      </c>
      <c r="I69" s="48">
        <f>Historicals!I40+Historicals!I47-(Historicals!I25+Historicals!I26)</f>
        <v>-3577</v>
      </c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Vivek Khanna</cp:lastModifiedBy>
  <dcterms:created xsi:type="dcterms:W3CDTF">2020-05-20T17:26:08Z</dcterms:created>
  <dcterms:modified xsi:type="dcterms:W3CDTF">2024-12-01T09:25:19Z</dcterms:modified>
</cp:coreProperties>
</file>