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D42DA870-CF84-E949-802E-9C3227878F98}" xr6:coauthVersionLast="36" xr6:coauthVersionMax="36" xr10:uidLastSave="{00000000-0000-0000-0000-000000000000}"/>
  <bookViews>
    <workbookView xWindow="11820" yWindow="920" windowWidth="16980" windowHeight="151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E29" i="3"/>
  <c r="C29" i="3"/>
  <c r="D27" i="3"/>
  <c r="E27" i="3"/>
  <c r="C27" i="3"/>
  <c r="B108" i="1" l="1"/>
  <c r="D45" i="3" l="1"/>
  <c r="E45" i="3"/>
  <c r="C45" i="3"/>
  <c r="D68" i="3" l="1"/>
  <c r="E68" i="3"/>
  <c r="C68" i="3"/>
  <c r="E46" i="3" l="1"/>
  <c r="D46" i="3"/>
  <c r="C46" i="3"/>
  <c r="D40" i="3"/>
  <c r="E40" i="3"/>
  <c r="C40" i="3"/>
  <c r="D108" i="1" l="1"/>
  <c r="C108" i="1"/>
  <c r="D99" i="1"/>
  <c r="C99" i="1"/>
  <c r="B99" i="1"/>
  <c r="D68" i="1" l="1"/>
  <c r="E25" i="3" s="1"/>
  <c r="C68" i="1"/>
  <c r="D25" i="3" s="1"/>
  <c r="B68" i="1"/>
  <c r="C25" i="3" s="1"/>
  <c r="D61" i="1"/>
  <c r="C61" i="1"/>
  <c r="B61" i="1"/>
  <c r="D56" i="1"/>
  <c r="C56" i="1"/>
  <c r="B56" i="1"/>
  <c r="D47" i="1"/>
  <c r="C47" i="1"/>
  <c r="B47" i="1"/>
  <c r="D42" i="1"/>
  <c r="E8" i="3" s="1"/>
  <c r="C42" i="1"/>
  <c r="D8" i="3" s="1"/>
  <c r="B42" i="1"/>
  <c r="C8" i="3" s="1"/>
  <c r="D17" i="1"/>
  <c r="G17" i="1" s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62" i="3" l="1"/>
  <c r="D35" i="3"/>
  <c r="D67" i="3"/>
  <c r="D59" i="3"/>
  <c r="D61" i="3"/>
  <c r="D53" i="3"/>
  <c r="F8" i="1"/>
  <c r="E10" i="3"/>
  <c r="G12" i="1"/>
  <c r="E9" i="3" s="1"/>
  <c r="E36" i="3"/>
  <c r="E67" i="3"/>
  <c r="E62" i="3"/>
  <c r="E59" i="3"/>
  <c r="E61" i="3"/>
  <c r="E35" i="3"/>
  <c r="G8" i="1"/>
  <c r="C55" i="3"/>
  <c r="E17" i="1"/>
  <c r="C61" i="3"/>
  <c r="C53" i="3"/>
  <c r="C35" i="3"/>
  <c r="C67" i="3"/>
  <c r="C62" i="3"/>
  <c r="C59" i="3"/>
  <c r="E8" i="1"/>
  <c r="F12" i="1"/>
  <c r="D9" i="3" s="1"/>
  <c r="D36" i="3"/>
  <c r="C36" i="3"/>
  <c r="E12" i="1"/>
  <c r="C9" i="3" s="1"/>
  <c r="D55" i="3"/>
  <c r="F17" i="1"/>
  <c r="C11" i="3"/>
  <c r="D11" i="3"/>
  <c r="E11" i="3"/>
  <c r="D6" i="3"/>
  <c r="D7" i="3"/>
  <c r="B13" i="1"/>
  <c r="D10" i="3"/>
  <c r="C13" i="1"/>
  <c r="B48" i="1"/>
  <c r="C43" i="3" s="1"/>
  <c r="E6" i="3"/>
  <c r="E7" i="3"/>
  <c r="D13" i="1"/>
  <c r="C10" i="3"/>
  <c r="B62" i="1"/>
  <c r="B69" i="1" s="1"/>
  <c r="C7" i="3"/>
  <c r="C6" i="3"/>
  <c r="C62" i="1"/>
  <c r="C48" i="1"/>
  <c r="D62" i="1"/>
  <c r="D48" i="1"/>
  <c r="E43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D34" i="3"/>
  <c r="D43" i="3"/>
  <c r="C34" i="3"/>
  <c r="B18" i="1"/>
  <c r="C54" i="3"/>
  <c r="C60" i="3"/>
  <c r="C69" i="1"/>
  <c r="D26" i="3"/>
  <c r="C42" i="3"/>
  <c r="C26" i="3"/>
  <c r="C14" i="3"/>
  <c r="C13" i="3" s="1"/>
  <c r="E42" i="3"/>
  <c r="E14" i="3"/>
  <c r="E13" i="3" s="1"/>
  <c r="D18" i="1"/>
  <c r="E60" i="3"/>
  <c r="C18" i="1"/>
  <c r="D60" i="3"/>
  <c r="D54" i="3"/>
  <c r="E34" i="3"/>
  <c r="D42" i="3"/>
  <c r="D14" i="3"/>
  <c r="D13" i="3" s="1"/>
  <c r="D69" i="1"/>
  <c r="E26" i="3"/>
  <c r="D12" i="3"/>
  <c r="C12" i="3"/>
  <c r="A24" i="3"/>
  <c r="A25" i="3" s="1"/>
  <c r="A26" i="3" s="1"/>
  <c r="A27" i="3" s="1"/>
  <c r="A28" i="3" s="1"/>
  <c r="A29" i="3" s="1"/>
  <c r="A30" i="3" s="1"/>
  <c r="A33" i="3"/>
  <c r="D20" i="1" l="1"/>
  <c r="E19" i="3"/>
  <c r="E18" i="3" s="1"/>
  <c r="E63" i="3"/>
  <c r="E21" i="3"/>
  <c r="C20" i="1"/>
  <c r="D21" i="3"/>
  <c r="D63" i="3"/>
  <c r="D56" i="3"/>
  <c r="D19" i="3"/>
  <c r="D18" i="3" s="1"/>
  <c r="B20" i="1"/>
  <c r="C56" i="3"/>
  <c r="C21" i="3"/>
  <c r="C63" i="3"/>
  <c r="C19" i="3"/>
  <c r="C18" i="3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48" i="3" l="1"/>
  <c r="C28" i="3"/>
  <c r="C20" i="3"/>
  <c r="E48" i="3"/>
  <c r="E28" i="3"/>
  <c r="E20" i="3"/>
  <c r="B22" i="1"/>
  <c r="C66" i="3"/>
  <c r="D48" i="3"/>
  <c r="D28" i="3"/>
  <c r="D20" i="3"/>
  <c r="C22" i="1"/>
  <c r="D66" i="3"/>
  <c r="D22" i="1"/>
  <c r="E66" i="3"/>
  <c r="C76" i="1" l="1"/>
  <c r="C91" i="1" s="1"/>
  <c r="D51" i="3" s="1"/>
  <c r="D41" i="3"/>
  <c r="D44" i="3" s="1"/>
  <c r="D57" i="3"/>
  <c r="D31" i="3"/>
  <c r="D30" i="3" s="1"/>
  <c r="D64" i="3"/>
  <c r="D47" i="3"/>
  <c r="D22" i="3"/>
  <c r="D49" i="3"/>
  <c r="D37" i="3"/>
  <c r="D76" i="1"/>
  <c r="D91" i="1" s="1"/>
  <c r="E51" i="3" s="1"/>
  <c r="E31" i="3"/>
  <c r="E30" i="3" s="1"/>
  <c r="E41" i="3"/>
  <c r="E44" i="3" s="1"/>
  <c r="E64" i="3"/>
  <c r="E37" i="3"/>
  <c r="E22" i="3"/>
  <c r="E47" i="3"/>
  <c r="E49" i="3"/>
  <c r="B76" i="1"/>
  <c r="B91" i="1" s="1"/>
  <c r="C51" i="3" s="1"/>
  <c r="C57" i="3"/>
  <c r="C64" i="3"/>
  <c r="C31" i="3"/>
  <c r="C30" i="3" s="1"/>
  <c r="C41" i="3"/>
  <c r="C44" i="3" s="1"/>
  <c r="C49" i="3"/>
  <c r="C47" i="3"/>
  <c r="C37" i="3"/>
  <c r="C22" i="3"/>
  <c r="B109" i="1" l="1"/>
  <c r="C50" i="3"/>
  <c r="D109" i="1"/>
  <c r="E50" i="3"/>
  <c r="C109" i="1"/>
  <c r="D50" i="3"/>
</calcChain>
</file>

<file path=xl/sharedStrings.xml><?xml version="1.0" encoding="utf-8"?>
<sst xmlns="http://schemas.openxmlformats.org/spreadsheetml/2006/main" count="189" uniqueCount="163">
  <si>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</si>
  <si>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</si>
  <si>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</si>
  <si>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</si>
  <si>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</si>
  <si>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</si>
  <si>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</si>
  <si>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</si>
  <si>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</si>
  <si>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</si>
  <si>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</si>
  <si>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</si>
  <si>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</si>
  <si>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</si>
  <si>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</si>
  <si>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</si>
  <si>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</si>
  <si>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</si>
  <si>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</si>
  <si>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</si>
  <si>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</si>
  <si>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</si>
  <si>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</si>
  <si>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</si>
  <si>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</si>
  <si>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</si>
  <si>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</si>
  <si>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</si>
  <si>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</si>
  <si>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</si>
  <si>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</si>
  <si>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</si>
  <si>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</si>
  <si>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</si>
  <si>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</si>
  <si>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</si>
  <si>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</si>
  <si>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</si>
  <si>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</si>
  <si>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</si>
  <si>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</si>
  <si>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</si>
  <si>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</si>
  <si>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</si>
  <si>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</si>
  <si>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</si>
  <si>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</si>
  <si>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</si>
  <si>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</si>
  <si>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</si>
  <si>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</si>
  <si>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</si>
  <si>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</si>
  <si>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</si>
  <si>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</si>
  <si>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</si>
  <si>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</si>
  <si>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</si>
  <si>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</si>
  <si>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</si>
  <si>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</si>
  <si>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</si>
  <si>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</si>
  <si>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</si>
  <si>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</si>
  <si>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</si>
  <si>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</si>
  <si>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</si>
  <si>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</si>
  <si>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</si>
  <si>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</si>
  <si>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</si>
  <si>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</si>
  <si>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</si>
  <si>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</si>
  <si>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</si>
  <si>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</si>
  <si>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</si>
  <si>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</si>
  <si>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</si>
  <si>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</si>
  <si>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</si>
  <si>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</si>
  <si>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</si>
  <si>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</si>
  <si>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</si>
  <si>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</si>
  <si>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</si>
  <si>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</si>
  <si>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</si>
  <si>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</si>
  <si>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</si>
  <si>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</si>
  <si>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</si>
  <si>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</si>
  <si>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</si>
  <si>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</si>
  <si>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</si>
  <si>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</si>
  <si>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</si>
  <si>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</si>
  <si>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</si>
  <si>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</si>
  <si>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</si>
  <si>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</si>
  <si>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</si>
  <si>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</si>
  <si>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</si>
  <si>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</si>
  <si>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</si>
  <si>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</si>
  <si>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</si>
  <si>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</si>
  <si>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</si>
  <si>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</si>
  <si>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</si>
  <si>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</si>
  <si>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</si>
  <si>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</si>
  <si>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</si>
  <si>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</si>
  <si>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</si>
  <si>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</si>
  <si>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</si>
  <si>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</si>
  <si>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</si>
  <si>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</si>
  <si>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</si>
  <si>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</si>
  <si>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</si>
  <si>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</si>
  <si>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</si>
  <si>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</si>
  <si>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</si>
  <si>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</si>
  <si>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</si>
  <si>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</si>
  <si>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</si>
  <si>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</si>
  <si>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</si>
  <si>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</si>
  <si>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</si>
  <si>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</si>
  <si>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</si>
  <si>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</si>
  <si>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</si>
  <si>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</si>
  <si>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</si>
  <si>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</si>
  <si>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</si>
  <si>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</t>
  </si>
  <si>
    <t xml:space="preserve">Net Sales growth </t>
  </si>
  <si>
    <t xml:space="preserve">Gross profits  growth </t>
  </si>
  <si>
    <t xml:space="preserve">Operating expenses growthh </t>
  </si>
  <si>
    <t xml:space="preserve">Operating income growthh </t>
  </si>
  <si>
    <t xml:space="preserve">Net profit gortwh </t>
  </si>
  <si>
    <t>COGS as a % of net sales</t>
  </si>
  <si>
    <t>Gross profits as a % of net sales</t>
  </si>
  <si>
    <t>Research and Development as a % of net sales</t>
  </si>
  <si>
    <t>Seling, general and administrative and Development as a % of net sales</t>
  </si>
  <si>
    <t xml:space="preserve">Operating income as a % of net sales </t>
  </si>
  <si>
    <t xml:space="preserve">Net profit as a % of net sales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</si>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</sst>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000_);\(#,##0.0000\)"/>
    <numFmt numFmtId="166" formatCode="#,##0.00000_);\(#,##0.00000\)"/>
    <numFmt numFmtId="167" formatCode="_(* #,##0.000_);_(* \(#,##0.000\);_(* &quot;-&quot;???_);_(@_)"/>
    <numFmt numFmtId="168" formatCode="#,##0.00000000_);\(#,##0.000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43" fontId="0" fillId="0" borderId="0" xfId="1" applyFont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43" fontId="0" fillId="0" borderId="3" xfId="1" applyFont="1" applyBorder="1"/>
    <xf numFmtId="0" fontId="2" fillId="0" borderId="3" xfId="0" applyFont="1" applyBorder="1" applyAlignment="1">
      <alignment horizontal="left"/>
    </xf>
    <xf numFmtId="0" fontId="0" fillId="0" borderId="0" xfId="0"/>
    <xf numFmtId="4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NumberFormat="1"/>
    <xf numFmtId="39" fontId="0" fillId="0" borderId="0" xfId="0" applyNumberFormat="1"/>
    <xf numFmtId="4" fontId="8" fillId="0" borderId="0" xfId="0" applyNumberFormat="1" applyFont="1"/>
    <xf numFmtId="165" fontId="0" fillId="0" borderId="0" xfId="0" applyNumberFormat="1"/>
    <xf numFmtId="0" fontId="0" fillId="0" borderId="0" xfId="0" applyFont="1" applyAlignment="1">
      <alignment horizontal="left" indent="1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9" fillId="2" borderId="0" xfId="0" applyFont="1" applyFill="1" applyAlignment="1">
      <alignment horizontal="center"/>
    </xf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136" workbookViewId="0">
      <selection activeCell="A25" sqref="A25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zoomScale="110" zoomScaleNormal="80" workbookViewId="0">
      <selection activeCell="C109" sqref="C10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11.1640625" bestFit="1" customWidth="1"/>
    <col min="6" max="6" width="11.83203125" bestFit="1" customWidth="1"/>
  </cols>
  <sheetData>
    <row r="1" spans="1:11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">
      <c r="A2" s="39" t="s">
        <v>1</v>
      </c>
      <c r="B2" s="39"/>
      <c r="C2" s="39"/>
      <c r="D2" s="39"/>
    </row>
    <row r="3" spans="1:11" x14ac:dyDescent="0.2">
      <c r="B3" s="38" t="s">
        <v>23</v>
      </c>
      <c r="C3" s="38"/>
      <c r="D3" s="38"/>
      <c r="E3" t="s">
        <v>150</v>
      </c>
    </row>
    <row r="4" spans="1:11" x14ac:dyDescent="0.2">
      <c r="B4" s="7">
        <v>2022</v>
      </c>
      <c r="C4" s="7">
        <v>2021</v>
      </c>
      <c r="D4" s="7">
        <v>2020</v>
      </c>
    </row>
    <row r="5" spans="1:11" x14ac:dyDescent="0.2">
      <c r="A5" t="s">
        <v>3</v>
      </c>
    </row>
    <row r="6" spans="1:11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5">
        <f>B8/365</f>
        <v>1080.3506849315067</v>
      </c>
      <c r="F8" s="25">
        <f t="shared" ref="F8:G8" si="1">C8/365</f>
        <v>1002.2383561643836</v>
      </c>
      <c r="G8" s="25">
        <f t="shared" si="1"/>
        <v>752.09589041095887</v>
      </c>
    </row>
    <row r="9" spans="1:11" x14ac:dyDescent="0.2">
      <c r="A9" t="s">
        <v>7</v>
      </c>
      <c r="B9" s="12"/>
      <c r="C9" s="12"/>
      <c r="D9" s="12"/>
    </row>
    <row r="10" spans="1:11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2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25">
        <f>B12/365</f>
        <v>612.45479452054792</v>
      </c>
      <c r="F12" s="25">
        <f t="shared" ref="F12:G12" si="3">C12/365</f>
        <v>583.50958904109586</v>
      </c>
      <c r="G12" s="25">
        <f t="shared" si="3"/>
        <v>464.54520547945208</v>
      </c>
    </row>
    <row r="13" spans="1:11" x14ac:dyDescent="0.2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</row>
    <row r="14" spans="1:11" x14ac:dyDescent="0.2">
      <c r="A14" t="s">
        <v>10</v>
      </c>
      <c r="B14" s="12"/>
      <c r="C14" s="12"/>
      <c r="D14" s="12"/>
    </row>
    <row r="15" spans="1:11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1" x14ac:dyDescent="0.2">
      <c r="A16" s="1" t="s">
        <v>12</v>
      </c>
      <c r="B16" s="12">
        <v>25094</v>
      </c>
      <c r="C16" s="12">
        <v>21973</v>
      </c>
      <c r="D16" s="12">
        <v>19916</v>
      </c>
      <c r="I16" s="13"/>
      <c r="J16" s="13"/>
      <c r="K16" s="13"/>
    </row>
    <row r="17" spans="1:7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" si="6">+D15+D16</f>
        <v>38668</v>
      </c>
      <c r="E17" s="25">
        <f>B17/365</f>
        <v>140.67123287671234</v>
      </c>
      <c r="F17" s="25">
        <f t="shared" ref="F17:G17" si="7">C17/365</f>
        <v>120.23835616438356</v>
      </c>
      <c r="G17" s="25">
        <f t="shared" si="7"/>
        <v>105.93972602739726</v>
      </c>
    </row>
    <row r="18" spans="1:7" s="21" customFormat="1" x14ac:dyDescent="0.2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9">+C18+C19</f>
        <v>109207</v>
      </c>
      <c r="D20" s="13">
        <f t="shared" si="9"/>
        <v>67091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10">+C20-C21</f>
        <v>94680</v>
      </c>
      <c r="D22" s="14">
        <f t="shared" si="10"/>
        <v>57411</v>
      </c>
    </row>
    <row r="23" spans="1:7" ht="16" thickTop="1" x14ac:dyDescent="0.2">
      <c r="A23" t="s">
        <v>19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">
      <c r="A31" s="39" t="s">
        <v>24</v>
      </c>
      <c r="B31" s="39"/>
      <c r="C31" s="39"/>
      <c r="D31" s="39"/>
    </row>
    <row r="32" spans="1:7" x14ac:dyDescent="0.2">
      <c r="B32" s="38" t="s">
        <v>142</v>
      </c>
      <c r="C32" s="38"/>
      <c r="D32" s="38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E42" s="24"/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4"/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7" ht="16" thickTop="1" x14ac:dyDescent="0.2"/>
    <row r="50" spans="1:7" x14ac:dyDescent="0.2">
      <c r="A50" t="s">
        <v>34</v>
      </c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E55" s="24"/>
      <c r="F55" s="24"/>
    </row>
    <row r="56" spans="1:7" x14ac:dyDescent="0.2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E56" s="25"/>
    </row>
    <row r="57" spans="1:7" x14ac:dyDescent="0.2">
      <c r="A57" t="s">
        <v>51</v>
      </c>
      <c r="B57" s="12"/>
      <c r="C57" s="12"/>
      <c r="D57" s="12"/>
    </row>
    <row r="58" spans="1:7" x14ac:dyDescent="0.2">
      <c r="A58" s="1" t="s">
        <v>37</v>
      </c>
      <c r="B58" s="12"/>
      <c r="C58" s="12"/>
      <c r="D58" s="12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E59" s="25"/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">
      <c r="A61" s="23" t="s">
        <v>53</v>
      </c>
      <c r="B61" s="22">
        <f>+B59+B60</f>
        <v>148101</v>
      </c>
      <c r="C61" s="22">
        <f t="shared" ref="C61:D61" si="16">+C59+C60</f>
        <v>162431</v>
      </c>
      <c r="D61" s="22">
        <f t="shared" si="16"/>
        <v>153157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7" x14ac:dyDescent="0.2">
      <c r="B63" s="12"/>
      <c r="C63" s="12"/>
      <c r="D63" s="12"/>
      <c r="E63" s="25"/>
      <c r="F63" s="25"/>
      <c r="G63" s="25"/>
    </row>
    <row r="64" spans="1:7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  <c r="F69" s="25"/>
      <c r="G69" s="25"/>
      <c r="H69" s="25"/>
    </row>
    <row r="70" spans="1:8" ht="16" thickTop="1" x14ac:dyDescent="0.2"/>
    <row r="71" spans="1:8" x14ac:dyDescent="0.2">
      <c r="A71" s="39" t="s">
        <v>55</v>
      </c>
      <c r="B71" s="39"/>
      <c r="C71" s="39"/>
      <c r="D71" s="39"/>
    </row>
    <row r="72" spans="1:8" x14ac:dyDescent="0.2">
      <c r="B72" s="38" t="s">
        <v>23</v>
      </c>
      <c r="C72" s="38"/>
      <c r="D72" s="38"/>
    </row>
    <row r="73" spans="1:8" x14ac:dyDescent="0.2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F76" s="28"/>
      <c r="G76" s="28"/>
      <c r="H76" s="28"/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2">
      <c r="A82" s="3" t="s">
        <v>61</v>
      </c>
      <c r="B82" s="12">
        <v>111</v>
      </c>
      <c r="C82" s="12">
        <v>-147</v>
      </c>
      <c r="D82" s="12">
        <v>-97</v>
      </c>
      <c r="G82" s="24"/>
      <c r="H82" s="24"/>
      <c r="I82" s="24"/>
    </row>
    <row r="83" spans="1:9" x14ac:dyDescent="0.2">
      <c r="A83" t="s">
        <v>62</v>
      </c>
      <c r="B83" s="12"/>
      <c r="C83" s="12"/>
      <c r="D83" s="12"/>
    </row>
    <row r="84" spans="1:9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2">
      <c r="A87" s="32" t="s">
        <v>84</v>
      </c>
      <c r="B87" s="12">
        <v>-6499</v>
      </c>
      <c r="C87" s="12">
        <v>-8042</v>
      </c>
      <c r="D87" s="12">
        <v>-9588</v>
      </c>
    </row>
    <row r="88" spans="1:9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2">
      <c r="A90" s="32" t="s">
        <v>85</v>
      </c>
      <c r="B90" s="12">
        <v>5632</v>
      </c>
      <c r="C90" s="12">
        <v>5799</v>
      </c>
      <c r="D90" s="12">
        <v>8916</v>
      </c>
    </row>
    <row r="91" spans="1:9" x14ac:dyDescent="0.2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9" x14ac:dyDescent="0.2">
      <c r="A92" s="7" t="s">
        <v>64</v>
      </c>
      <c r="B92" s="12"/>
      <c r="C92" s="12"/>
      <c r="D92" s="12"/>
    </row>
    <row r="93" spans="1:9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9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9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  <c r="E108" s="25"/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5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5" ht="16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abSelected="1" topLeftCell="A14" zoomScale="102" workbookViewId="0">
      <selection activeCell="F29" sqref="F29"/>
    </sheetView>
  </sheetViews>
  <sheetFormatPr baseColWidth="10" defaultColWidth="8.83203125" defaultRowHeight="15" x14ac:dyDescent="0.2"/>
  <cols>
    <col min="1" max="1" width="4.6640625" customWidth="1"/>
    <col min="2" max="2" width="57.33203125" customWidth="1"/>
    <col min="3" max="5" width="16.33203125" bestFit="1" customWidth="1"/>
    <col min="6" max="6" width="51.5" customWidth="1"/>
    <col min="7" max="7" width="11.1640625" bestFit="1" customWidth="1"/>
  </cols>
  <sheetData>
    <row r="1" spans="1:9" ht="60" customHeight="1" x14ac:dyDescent="0.3">
      <c r="A1" s="6"/>
      <c r="B1" s="20" t="s">
        <v>0</v>
      </c>
      <c r="C1" s="19"/>
      <c r="D1" s="19"/>
      <c r="E1" s="19"/>
      <c r="F1" s="36" t="s">
        <v>162</v>
      </c>
      <c r="G1" s="19"/>
      <c r="H1" s="19"/>
      <c r="I1" s="19"/>
    </row>
    <row r="2" spans="1:9" x14ac:dyDescent="0.2">
      <c r="C2" s="38" t="s">
        <v>23</v>
      </c>
      <c r="D2" s="38"/>
      <c r="E2" s="38"/>
    </row>
    <row r="3" spans="1:9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9" x14ac:dyDescent="0.2">
      <c r="A4" s="18">
        <v>1</v>
      </c>
      <c r="B4" s="7" t="s">
        <v>99</v>
      </c>
    </row>
    <row r="5" spans="1:9" x14ac:dyDescent="0.2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1.3640000000000001</v>
      </c>
    </row>
    <row r="6" spans="1:9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</row>
    <row r="7" spans="1:9" x14ac:dyDescent="0.2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9" x14ac:dyDescent="0.2">
      <c r="A8" s="18">
        <f t="shared" si="0"/>
        <v>1.4000000000000004</v>
      </c>
      <c r="B8" s="32" t="s">
        <v>103</v>
      </c>
      <c r="C8" s="27">
        <f>'Financial Statements'!B42/('Financial Statements'!B17-'Financial Statements'!B79)</f>
        <v>3.3648517680972141</v>
      </c>
      <c r="D8" s="27">
        <f>'Financial Statements'!C42/('Financial Statements'!C17-'Financial Statements'!C79)</f>
        <v>4.1356930343833387</v>
      </c>
      <c r="E8" s="27">
        <f>'Financial Statements'!D42/('Financial Statements'!D17-'Financial Statements'!D79)</f>
        <v>5.2047298276111835</v>
      </c>
    </row>
    <row r="9" spans="1:9" x14ac:dyDescent="0.2">
      <c r="A9" s="18">
        <f t="shared" si="0"/>
        <v>1.5000000000000004</v>
      </c>
      <c r="B9" s="32" t="s">
        <v>104</v>
      </c>
      <c r="C9" s="27">
        <f>'Financial Statements'!B39/'Financial Statements'!E12</f>
        <v>8.0756980666171625</v>
      </c>
      <c r="D9" s="27">
        <f>'Financial Statements'!C39/'Financial Statements'!F12</f>
        <v>11.27659274770989</v>
      </c>
      <c r="E9" s="27">
        <f>'Financial Statements'!D39/'Financial Statements'!G12</f>
        <v>8.7418833562358813</v>
      </c>
    </row>
    <row r="10" spans="1:9" x14ac:dyDescent="0.2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s="24"/>
    </row>
    <row r="11" spans="1:9" x14ac:dyDescent="0.2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</row>
    <row r="12" spans="1:9" x14ac:dyDescent="0.2">
      <c r="A12" s="18">
        <f t="shared" si="0"/>
        <v>1.8000000000000007</v>
      </c>
      <c r="B12" s="1" t="s">
        <v>107</v>
      </c>
      <c r="C12" s="27">
        <f>C9+C11-C10</f>
        <v>-70.521753872831582</v>
      </c>
      <c r="D12" s="27">
        <f>D9+D11-D10</f>
        <v>-56.355166632892498</v>
      </c>
      <c r="E12" s="27">
        <f>E9+E11-E10</f>
        <v>-60.872869206641568</v>
      </c>
    </row>
    <row r="13" spans="1:9" x14ac:dyDescent="0.2">
      <c r="A13" s="18">
        <f t="shared" si="0"/>
        <v>1.9000000000000008</v>
      </c>
      <c r="B13" s="1" t="s">
        <v>108</v>
      </c>
      <c r="C13" s="26">
        <f>C14/'Financial Statements'!B8</f>
        <v>0.12850216063784464</v>
      </c>
      <c r="D13" s="26">
        <f>D14/'Financial Statements'!C8</f>
        <v>0.17246328082073825</v>
      </c>
      <c r="E13" s="26">
        <f>E14/'Financial Statements'!D8</f>
        <v>0.23801613755168205</v>
      </c>
    </row>
    <row r="14" spans="1:9" x14ac:dyDescent="0.2">
      <c r="A14" s="18"/>
      <c r="B14" s="3" t="s">
        <v>109</v>
      </c>
      <c r="C14" s="25">
        <f>'Financial Statements'!B48-'Financial Statements'!B62</f>
        <v>50672</v>
      </c>
      <c r="D14" s="25">
        <f>'Financial Statements'!C48-'Financial Statements'!C62</f>
        <v>63090</v>
      </c>
      <c r="E14" s="25">
        <f>'Financial Statements'!D48-'Financial Statements'!D62</f>
        <v>65339</v>
      </c>
    </row>
    <row r="15" spans="1:9" x14ac:dyDescent="0.2">
      <c r="A15" s="18"/>
    </row>
    <row r="16" spans="1:9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 s="27">
        <v>170782</v>
      </c>
      <c r="D17" s="27">
        <v>152836</v>
      </c>
      <c r="E17" s="27">
        <v>104956</v>
      </c>
    </row>
    <row r="18" spans="1:6" x14ac:dyDescent="0.2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6" x14ac:dyDescent="0.2">
      <c r="A19" s="18"/>
      <c r="B19" s="3" t="s">
        <v>112</v>
      </c>
      <c r="C19" s="25">
        <f>'Financial Statements'!B18+'Financial Statements'!B79</f>
        <v>130541</v>
      </c>
      <c r="D19" s="25">
        <f>'Financial Statements'!C18+'Financial Statements'!C79</f>
        <v>120233</v>
      </c>
      <c r="E19" s="25">
        <f>'Financial Statements'!D18+'Financial Statements'!D79</f>
        <v>77344</v>
      </c>
    </row>
    <row r="20" spans="1:6" x14ac:dyDescent="0.2">
      <c r="A20" s="18">
        <f>+A18+0.1</f>
        <v>2.3000000000000003</v>
      </c>
      <c r="B20" s="1" t="s">
        <v>113</v>
      </c>
      <c r="C20" s="27">
        <f>C21/'Financial Statements'!B8</f>
        <v>0.35978931245054879</v>
      </c>
      <c r="D20" s="27">
        <f>D21/'Financial Statements'!C8</f>
        <v>0.37456159773876008</v>
      </c>
      <c r="E20" s="27">
        <f>E21/'Financial Statements'!D8</f>
        <v>0.28701892428464748</v>
      </c>
    </row>
    <row r="21" spans="1:6" x14ac:dyDescent="0.2">
      <c r="A21" s="18"/>
      <c r="B21" s="3" t="s">
        <v>114</v>
      </c>
      <c r="C21" s="27">
        <f>'Financial Statements'!B18+'Financial Statements'!B113+'Financial Statements'!B114</f>
        <v>141875</v>
      </c>
      <c r="D21" s="27">
        <f>'Financial Statements'!C18+'Financial Statements'!C113+'Financial Statements'!C114</f>
        <v>137021</v>
      </c>
      <c r="E21" s="27">
        <f>'Financial Statements'!D18+'Financial Statements'!D113+'Financial Statements'!D114</f>
        <v>78791</v>
      </c>
    </row>
    <row r="22" spans="1:6" x14ac:dyDescent="0.2">
      <c r="A22" s="18">
        <f>+A20+0.1</f>
        <v>2.4000000000000004</v>
      </c>
      <c r="B22" s="1" t="s">
        <v>115</v>
      </c>
      <c r="C22" s="27">
        <f>'Financial Statements'!B22/'Financial Statements'!B8*100</f>
        <v>25.309640705199733</v>
      </c>
      <c r="D22" s="27">
        <f>'Financial Statements'!C22/'Financial Statements'!C8*100</f>
        <v>25.881793355694239</v>
      </c>
      <c r="E22" s="27">
        <f>'Financial Statements'!D22/'Financial Statements'!D8*100</f>
        <v>20.913611278072235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25">
        <f>'Financial Statements'!B55/'Financial Statements'!B68</f>
        <v>0.21960846226712977</v>
      </c>
      <c r="D25" s="25">
        <f>'Financial Statements'!C55/'Financial Statements'!C68</f>
        <v>0.15236963068632112</v>
      </c>
      <c r="E25" s="25">
        <f>'Financial Statements'!D55/'Financial Statements'!D68</f>
        <v>0.13426896646719416</v>
      </c>
    </row>
    <row r="26" spans="1:6" x14ac:dyDescent="0.2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Statements'!C62/'Financial Statements'!C48</f>
        <v>0.82025743443057308</v>
      </c>
      <c r="E26" s="27">
        <f>'Financial Statements'!D62/'Financial Statements'!D48</f>
        <v>0.79826668477992391</v>
      </c>
      <c r="F26" s="24"/>
    </row>
    <row r="27" spans="1:6" x14ac:dyDescent="0.2">
      <c r="A27" s="18">
        <f t="shared" si="1"/>
        <v>3.3000000000000003</v>
      </c>
      <c r="B27" s="1" t="s">
        <v>119</v>
      </c>
      <c r="C27" s="34">
        <f>'Financial Statements'!B59/('Financial Statements'!B59+'Financial Statements'!B68)</f>
        <v>0.66135359651409131</v>
      </c>
      <c r="D27" s="34">
        <f>'Financial Statements'!C59/('Financial Statements'!C59+'Financial Statements'!C68)</f>
        <v>0.63361518269878514</v>
      </c>
      <c r="E27" s="34">
        <f>'Financial Statements'!D59/('Financial Statements'!D59+'Financial Statements'!D68)</f>
        <v>0.60160603880345842</v>
      </c>
    </row>
    <row r="28" spans="1:6" x14ac:dyDescent="0.2">
      <c r="A28" s="18">
        <f t="shared" si="1"/>
        <v>3.4000000000000004</v>
      </c>
      <c r="B28" s="1" t="s">
        <v>120</v>
      </c>
      <c r="C28" s="29">
        <f>C21/'Financial Statements'!B114</f>
        <v>49.520069808027927</v>
      </c>
      <c r="D28" s="29">
        <f>D21/'Financial Statements'!C114</f>
        <v>50.994045403796058</v>
      </c>
      <c r="E28" s="29">
        <f>E21/'Financial Statements'!D114</f>
        <v>26.246169220519654</v>
      </c>
    </row>
    <row r="29" spans="1:6" x14ac:dyDescent="0.2">
      <c r="A29" s="18">
        <f t="shared" si="1"/>
        <v>3.5000000000000004</v>
      </c>
      <c r="B29" s="1" t="s">
        <v>121</v>
      </c>
      <c r="C29" s="29">
        <f>('Financial Statements'!B18/('Financial Statements'!B114-'Financial Statements'!B105))</f>
        <v>9.6258059316569948</v>
      </c>
      <c r="D29" s="29">
        <f>('Financial Statements'!C18/('Financial Statements'!C114-'Financial Statements'!C105))</f>
        <v>9.5260120661012504</v>
      </c>
      <c r="E29" s="29">
        <f>('Financial Statements'!D18/('Financial Statements'!D114-'Financial Statements'!D105))</f>
        <v>4.2408035314439259</v>
      </c>
    </row>
    <row r="30" spans="1:6" x14ac:dyDescent="0.2">
      <c r="A30" s="18">
        <f t="shared" si="1"/>
        <v>3.6000000000000005</v>
      </c>
      <c r="B30" s="1" t="s">
        <v>122</v>
      </c>
      <c r="C30" s="33">
        <f>C31/'Financial Statements'!B28</f>
        <v>3.0756803073707971E-3</v>
      </c>
      <c r="D30" s="33">
        <f>D31/'Financial Statements'!C28</f>
        <v>4.4992211347116458E-3</v>
      </c>
      <c r="E30" s="33">
        <f>E31/'Financial Statements'!D28</f>
        <v>3.9948165854205115E-3</v>
      </c>
    </row>
    <row r="31" spans="1:6" x14ac:dyDescent="0.2">
      <c r="A31" s="18"/>
      <c r="B31" s="3" t="s">
        <v>123</v>
      </c>
      <c r="C31" s="30">
        <f>'Financial Statements'!B22+'Financial Statements'!B79+'Financial Statements'!B42-'Financial Statements'!B56-'Financial Statements'!B45</f>
        <v>50213</v>
      </c>
      <c r="D31" s="30">
        <f>'Financial Statements'!C22+'Financial Statements'!C79+'Financial Statements'!C42-'Financial Statements'!C56-'Financial Statements'!C45</f>
        <v>75879</v>
      </c>
      <c r="E31" s="30">
        <f>'Financial Statements'!D22+'Financial Statements'!D79+'Financial Statements'!D42-'Financial Statements'!D56-'Financial Statements'!D45</f>
        <v>70022</v>
      </c>
    </row>
    <row r="32" spans="1:6" x14ac:dyDescent="0.2">
      <c r="A32" s="18"/>
    </row>
    <row r="33" spans="1:6" x14ac:dyDescent="0.2">
      <c r="A33" s="18">
        <f>+A24+1</f>
        <v>4</v>
      </c>
      <c r="B33" s="17" t="s">
        <v>124</v>
      </c>
    </row>
    <row r="34" spans="1:6" x14ac:dyDescent="0.2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6" x14ac:dyDescent="0.2">
      <c r="A35" s="18">
        <f t="shared" ref="A35:A37" si="2">+A34+0.1</f>
        <v>4.1999999999999993</v>
      </c>
      <c r="B35" s="1" t="s">
        <v>126</v>
      </c>
      <c r="C35" s="27">
        <f>'Financial Statements'!B8/'Financial Statements'!B47</f>
        <v>1.8142535081665516</v>
      </c>
      <c r="D35" s="27">
        <f>'Financial Statements'!C8/'Financial Statements'!C47</f>
        <v>1.6922966608994938</v>
      </c>
      <c r="E35" s="27">
        <f>'Financial Statements'!D8/'Financial Statements'!D47</f>
        <v>1.5236020535590398</v>
      </c>
    </row>
    <row r="36" spans="1:6" x14ac:dyDescent="0.2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6" x14ac:dyDescent="0.2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129</v>
      </c>
    </row>
    <row r="40" spans="1:6" x14ac:dyDescent="0.2">
      <c r="A40" s="18">
        <f>+A39+0.1</f>
        <v>5.0999999999999996</v>
      </c>
      <c r="B40" s="1" t="s">
        <v>130</v>
      </c>
      <c r="C40" s="25">
        <f>'Financial Statements'!B65/'Financial Statements'!B66</f>
        <v>-21.137222946544981</v>
      </c>
      <c r="D40" s="25">
        <f>'Financial Statements'!C65/'Financial Statements'!C66</f>
        <v>10.313736066163251</v>
      </c>
      <c r="E40" s="25">
        <f>'Financial Statements'!D65/'Financial Statements'!D66</f>
        <v>3.3929573700387543</v>
      </c>
    </row>
    <row r="41" spans="1:6" x14ac:dyDescent="0.2">
      <c r="A41" s="18">
        <f t="shared" ref="A41:A44" si="3">+A40+0.1</f>
        <v>5.1999999999999993</v>
      </c>
      <c r="B41" s="3" t="s">
        <v>131</v>
      </c>
      <c r="C41" s="31">
        <f>'Financial Statements'!B22/'Financial Statements'!B25*1000</f>
        <v>16334369.885433715</v>
      </c>
      <c r="D41" s="31">
        <f>'Financial Statements'!C22/'Financial Statements'!C25*1000</f>
        <v>16877005.347593583</v>
      </c>
      <c r="E41" s="31">
        <f>'Financial Statements'!D22/'Financial Statements'!D25*1000</f>
        <v>17503353.658536587</v>
      </c>
    </row>
    <row r="42" spans="1:6" x14ac:dyDescent="0.2">
      <c r="A42" s="18">
        <f t="shared" si="3"/>
        <v>5.2999999999999989</v>
      </c>
      <c r="B42" s="1" t="s">
        <v>132</v>
      </c>
      <c r="C42">
        <f>138.2/C43</f>
        <v>44526132.495263651</v>
      </c>
      <c r="D42" s="24">
        <f>146.92/D43</f>
        <v>39273956.24472975</v>
      </c>
      <c r="E42" s="24">
        <f>112.28/E43</f>
        <v>30120875.249391634</v>
      </c>
    </row>
    <row r="43" spans="1:6" x14ac:dyDescent="0.2">
      <c r="A43" s="18">
        <f t="shared" si="3"/>
        <v>5.3999999999999986</v>
      </c>
      <c r="B43" s="3" t="s">
        <v>133</v>
      </c>
      <c r="C43">
        <f>('Financial Statements'!B48-'Financial Statements'!B62)/'Financial Statements'!B28/1000</f>
        <v>3.1037952827971451E-6</v>
      </c>
      <c r="D43" s="24">
        <f>('Financial Statements'!C48-'Financial Statements'!C62)/'Financial Statements'!C28/1000</f>
        <v>3.740901453484597E-6</v>
      </c>
      <c r="E43" s="24">
        <f>('Financial Statements'!D48-'Financial Statements'!D62)/'Financial Statements'!D28/1000</f>
        <v>3.7276473233382477E-6</v>
      </c>
      <c r="F43" s="24"/>
    </row>
    <row r="44" spans="1:6" x14ac:dyDescent="0.2">
      <c r="A44" s="18">
        <f t="shared" si="3"/>
        <v>5.4999999999999982</v>
      </c>
      <c r="B44" s="1" t="s">
        <v>134</v>
      </c>
      <c r="C44">
        <f>C45/C41</f>
        <v>5.5652643995115303E-14</v>
      </c>
      <c r="D44" s="24">
        <f t="shared" ref="D44:E44" si="4">D45/D41</f>
        <v>5.0827509919812141E-14</v>
      </c>
      <c r="E44" s="24">
        <f t="shared" si="4"/>
        <v>4.5895971138867166E-14</v>
      </c>
    </row>
    <row r="45" spans="1:6" x14ac:dyDescent="0.2">
      <c r="A45" s="18"/>
      <c r="B45" s="3" t="s">
        <v>135</v>
      </c>
      <c r="C45" s="37">
        <f>-'Financial Statements'!B102/'Financial Statements'!B28/1000</f>
        <v>9.0905087211857486E-7</v>
      </c>
      <c r="D45" s="37">
        <f>-'Financial Statements'!C102/'Financial Statements'!C28/1000</f>
        <v>8.578161567215354E-7</v>
      </c>
      <c r="E45" s="37">
        <f>-'Financial Statements'!D102/'Financial Statements'!D28/1000</f>
        <v>8.0333341434558021E-7</v>
      </c>
      <c r="F45" s="24"/>
    </row>
    <row r="46" spans="1:6" x14ac:dyDescent="0.2">
      <c r="A46" s="18">
        <f>+A44+0.1</f>
        <v>5.5999999999999979</v>
      </c>
      <c r="B46" s="1" t="s">
        <v>136</v>
      </c>
      <c r="C46">
        <f>C45/138.2</f>
        <v>6.5777921282096599E-9</v>
      </c>
      <c r="D46">
        <f>D45/146.92</f>
        <v>5.8386615622211782E-9</v>
      </c>
      <c r="E46">
        <f>E45/112.28</f>
        <v>7.1547329385961897E-9</v>
      </c>
    </row>
    <row r="47" spans="1:6" x14ac:dyDescent="0.2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2">
      <c r="A48" s="18">
        <f t="shared" si="5"/>
        <v>5.6999999999999975</v>
      </c>
      <c r="B48" s="1" t="s">
        <v>138</v>
      </c>
      <c r="C48" s="25">
        <f>C21/('Financial Statements'!B68+'Financial Statements'!B55)</f>
        <v>2.2957119741100325</v>
      </c>
      <c r="D48" s="25">
        <f>D21/('Financial Statements'!C68+'Financial Statements'!C55)</f>
        <v>1.8846677578641873</v>
      </c>
      <c r="E48" s="25">
        <f>E21/('Financial Statements'!D68+'Financial Statements'!D55)</f>
        <v>1.0631341753022452</v>
      </c>
    </row>
    <row r="49" spans="1:6" x14ac:dyDescent="0.2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</row>
    <row r="50" spans="1:6" x14ac:dyDescent="0.2">
      <c r="A50" s="18">
        <f t="shared" si="5"/>
        <v>5.7999999999999972</v>
      </c>
      <c r="B50" s="1" t="s">
        <v>139</v>
      </c>
      <c r="C50" s="25">
        <f>C51/C19</f>
        <v>16.433190995932311</v>
      </c>
      <c r="D50" s="25">
        <f t="shared" ref="D50:E50" si="6">D51/D19</f>
        <v>18.599775484268044</v>
      </c>
      <c r="E50" s="25">
        <f t="shared" si="6"/>
        <v>30.390181200868842</v>
      </c>
    </row>
    <row r="51" spans="1:6" x14ac:dyDescent="0.2">
      <c r="A51" s="18"/>
      <c r="B51" s="3" t="s">
        <v>140</v>
      </c>
      <c r="C51" s="25">
        <f>138.2*'Financial Statements'!B28/1000+'Financial Statements'!B55-'Financial Statements'!B91</f>
        <v>2145205.1857999996</v>
      </c>
      <c r="D51" s="25">
        <f>138.2*'Financial Statements'!C28/1000+'Financial Statements'!C55-'Financial Statements'!C91</f>
        <v>2236306.8057999997</v>
      </c>
      <c r="E51" s="25">
        <f>138.2*'Financial Statements'!D28/1000+'Financial Statements'!D55-'Financial Statements'!D91</f>
        <v>2350498.1747999997</v>
      </c>
      <c r="F51" s="24"/>
    </row>
    <row r="53" spans="1:6" x14ac:dyDescent="0.2">
      <c r="B53" s="1" t="s">
        <v>151</v>
      </c>
      <c r="C53" s="26">
        <f>('Financial Statements'!B8-'Financial Statements'!C8)/'Financial Statements'!C8</f>
        <v>7.7937876041846058E-2</v>
      </c>
      <c r="D53" s="26">
        <f>('Financial Statements'!C8-'Financial Statements'!D8)/'Financial Statements'!D8</f>
        <v>0.33259384733074693</v>
      </c>
      <c r="E53" s="25"/>
    </row>
    <row r="54" spans="1:6" x14ac:dyDescent="0.2">
      <c r="B54" s="1" t="s">
        <v>152</v>
      </c>
      <c r="C54" s="26">
        <f>('Financial Statements'!B13-'Financial Statements'!C13)/'Financial Statements'!C13</f>
        <v>0.11741997958596143</v>
      </c>
      <c r="D54" s="26">
        <f>('Financial Statements'!C13-'Financial Statements'!D13)/'Financial Statements'!D13</f>
        <v>0.45619116582186819</v>
      </c>
    </row>
    <row r="55" spans="1:6" x14ac:dyDescent="0.2">
      <c r="B55" s="1" t="s">
        <v>153</v>
      </c>
      <c r="C55" s="26">
        <f>('Financial Statements'!B17-'Financial Statements'!C17)/'Financial Statements'!C17</f>
        <v>0.16993642764372138</v>
      </c>
      <c r="D55" s="26">
        <f>('Financial Statements'!C17-'Financial Statements'!D17)/'Financial Statements'!D17</f>
        <v>0.13496948381090307</v>
      </c>
    </row>
    <row r="56" spans="1:6" x14ac:dyDescent="0.2">
      <c r="B56" s="1" t="s">
        <v>154</v>
      </c>
      <c r="C56" s="26">
        <f>('Financial Statements'!B18-'Financial Statements'!C18)/'Financial Statements'!C18</f>
        <v>9.6265225013538444E-2</v>
      </c>
      <c r="D56" s="26">
        <f>('Financial Statements'!C18-'Financial Statements'!D18)/'Financial Statements'!D18</f>
        <v>0.64357048032826458</v>
      </c>
    </row>
    <row r="57" spans="1:6" x14ac:dyDescent="0.2">
      <c r="B57" s="1" t="s">
        <v>155</v>
      </c>
      <c r="C57" s="26">
        <f>('Financial Statements'!B22-'Financial Statements'!C22)/'Financial Statements'!C22</f>
        <v>5.4108576256865229E-2</v>
      </c>
      <c r="D57" s="26">
        <f>('Financial Statements'!C22-'Financial Statements'!D22)/'Financial Statements'!D22</f>
        <v>0.64916131055024295</v>
      </c>
    </row>
    <row r="59" spans="1:6" x14ac:dyDescent="0.2">
      <c r="B59" s="1" t="s">
        <v>156</v>
      </c>
      <c r="C59" s="26">
        <f>'Financial Statements'!B10/'Financial Statements'!B8</f>
        <v>0.5109223793390274</v>
      </c>
      <c r="D59" s="26">
        <f>'Financial Statements'!C10/'Financial Statements'!C8</f>
        <v>0.5255797297555882</v>
      </c>
      <c r="E59" s="26">
        <f>'Financial Statements'!D10/'Financial Statements'!D8</f>
        <v>0.55110285412454696</v>
      </c>
    </row>
    <row r="60" spans="1:6" x14ac:dyDescent="0.2">
      <c r="B60" s="1" t="s">
        <v>157</v>
      </c>
      <c r="C60" s="26">
        <f>'Financial Statements'!B13/'Financial Statements'!B8</f>
        <v>0.43309630561360085</v>
      </c>
      <c r="D60" s="26">
        <f>'Financial Statements'!C13/'Financial Statements'!C8</f>
        <v>0.41779359625167778</v>
      </c>
      <c r="E60" s="26">
        <f>'Financial Statements'!D13/'Financial Statements'!D8</f>
        <v>0.38233247727810865</v>
      </c>
    </row>
    <row r="61" spans="1:6" x14ac:dyDescent="0.2">
      <c r="B61" s="1" t="s">
        <v>158</v>
      </c>
      <c r="C61" s="26">
        <f>'Financial Statements'!B15/'Financial Statements'!B8</f>
        <v>6.657148363798665E-2</v>
      </c>
      <c r="D61" s="26">
        <f>'Financial Statements'!C15/'Financial Statements'!C8</f>
        <v>5.9904269074427925E-2</v>
      </c>
      <c r="E61" s="26">
        <f>'Financial Statements'!D15/'Financial Statements'!D8</f>
        <v>6.8309564140393061E-2</v>
      </c>
    </row>
    <row r="62" spans="1:6" x14ac:dyDescent="0.2">
      <c r="B62" s="1" t="s">
        <v>159</v>
      </c>
      <c r="C62" s="26">
        <f>'Financial Statements'!B16/'Financial Statements'!B8</f>
        <v>6.3637378020328261E-2</v>
      </c>
      <c r="D62" s="26">
        <f>'Financial Statements'!C16/'Financial Statements'!C8</f>
        <v>6.006555190163388E-2</v>
      </c>
      <c r="E62" s="26">
        <f>'Financial Statements'!D16/'Financial Statements'!D8</f>
        <v>7.2549769593646979E-2</v>
      </c>
    </row>
    <row r="63" spans="1:6" x14ac:dyDescent="0.2">
      <c r="B63" s="1" t="s">
        <v>160</v>
      </c>
      <c r="C63" s="26">
        <f>'Financial Statements'!B18/'Financial Statements'!B8</f>
        <v>0.30288744395528594</v>
      </c>
      <c r="D63" s="26">
        <f>'Financial Statements'!C18/'Financial Statements'!C8</f>
        <v>0.29782377527561593</v>
      </c>
      <c r="E63" s="26">
        <f>'Financial Statements'!D18/'Financial Statements'!D8</f>
        <v>0.24147314354406862</v>
      </c>
    </row>
    <row r="64" spans="1:6" x14ac:dyDescent="0.2">
      <c r="B64" s="1" t="s">
        <v>161</v>
      </c>
      <c r="C64" s="26">
        <f>'Financial Statements'!B22/'Financial Statements'!B8</f>
        <v>0.25309640705199732</v>
      </c>
      <c r="D64" s="26">
        <f>'Financial Statements'!C22/'Financial Statements'!C8</f>
        <v>0.25881793355694238</v>
      </c>
      <c r="E64" s="26">
        <f>'Financial Statements'!D22/'Financial Statements'!D8</f>
        <v>0.20913611278072236</v>
      </c>
    </row>
    <row r="66" spans="2:5" x14ac:dyDescent="0.2">
      <c r="B66" s="1" t="s">
        <v>94</v>
      </c>
      <c r="C66" s="35">
        <f>'Financial Statements'!B113/'Financial Statements'!B20</f>
        <v>0.1643367505436471</v>
      </c>
      <c r="D66" s="35">
        <f>'Financial Statements'!C113/'Financial Statements'!C20</f>
        <v>0.23244846942045841</v>
      </c>
      <c r="E66" s="35">
        <f>'Financial Statements'!D113/'Financial Statements'!D20</f>
        <v>0.14161362924982487</v>
      </c>
    </row>
    <row r="67" spans="2:5" x14ac:dyDescent="0.2">
      <c r="B67" s="1" t="s">
        <v>95</v>
      </c>
      <c r="C67" s="26">
        <f>-'Financial Statements'!B96/'Financial Statements'!B8</f>
        <v>2.7155058732831552E-2</v>
      </c>
      <c r="D67" s="26">
        <f>-'Financial Statements'!C96/'Financial Statements'!C8</f>
        <v>3.0302036264033657E-2</v>
      </c>
      <c r="E67" s="26">
        <f>-'Financial Statements'!D96/'Financial Statements'!D8</f>
        <v>2.6625138881299748E-2</v>
      </c>
    </row>
    <row r="68" spans="2:5" x14ac:dyDescent="0.2">
      <c r="B68" s="1" t="s">
        <v>96</v>
      </c>
      <c r="C68" s="26">
        <f>-'Financial Statements'!B96/'Financial Statements'!B45</f>
        <v>0.25424412944891611</v>
      </c>
      <c r="D68" s="26">
        <f>-'Financial Statements'!C96/'Financial Statements'!C45</f>
        <v>0.28105983772819471</v>
      </c>
      <c r="E68" s="26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2020-05-18T16:32:37Z</dcterms:created>
  <dcterms:modified xsi:type="dcterms:W3CDTF">2023-08-29T11:51:04Z</dcterms:modified>
</cp:coreProperties>
</file>