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duser\Downloads\"/>
    </mc:Choice>
  </mc:AlternateContent>
  <bookViews>
    <workbookView xWindow="0" yWindow="0" windowWidth="23040" windowHeight="9084"/>
  </bookViews>
  <sheets>
    <sheet name="Instructions" sheetId="2" r:id="rId1"/>
    <sheet name="Growth Rates" sheetId="4" r:id="rId2"/>
    <sheet name="Margins" sheetId="5" r:id="rId3"/>
    <sheet name="Additional Items" sheetId="6" r:id="rId4"/>
    <sheet name="Financial Statements" sheetId="1" r:id="rId5"/>
    <sheet name="List of Ratios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B10" i="4"/>
  <c r="C10" i="4"/>
  <c r="C9" i="4"/>
  <c r="B5" i="4"/>
  <c r="C5" i="4"/>
  <c r="B4" i="4"/>
  <c r="C4" i="4"/>
  <c r="D46" i="3"/>
  <c r="D47" i="3" s="1"/>
  <c r="E46" i="3"/>
  <c r="E47" i="3" s="1"/>
  <c r="C46" i="3"/>
  <c r="C47" i="3" s="1"/>
  <c r="D108" i="1" l="1"/>
  <c r="C108" i="1"/>
  <c r="B108" i="1"/>
  <c r="D99" i="1"/>
  <c r="C99" i="1"/>
  <c r="B99" i="1"/>
  <c r="B4" i="6" l="1"/>
  <c r="C4" i="6"/>
  <c r="D4" i="6"/>
  <c r="D3" i="6"/>
  <c r="D68" i="1"/>
  <c r="E44" i="3" s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D6" i="5" s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5" i="3" l="1"/>
  <c r="C13" i="3"/>
  <c r="C8" i="3"/>
  <c r="C14" i="3"/>
  <c r="C6" i="3"/>
  <c r="C44" i="3"/>
  <c r="B15" i="4"/>
  <c r="D44" i="3"/>
  <c r="C15" i="4"/>
  <c r="C17" i="3"/>
  <c r="C20" i="3"/>
  <c r="B5" i="5"/>
  <c r="B4" i="5"/>
  <c r="C36" i="3"/>
  <c r="B6" i="4"/>
  <c r="C5" i="5"/>
  <c r="D36" i="3"/>
  <c r="D20" i="3"/>
  <c r="D17" i="3"/>
  <c r="C4" i="5"/>
  <c r="C6" i="4"/>
  <c r="B62" i="1"/>
  <c r="C7" i="3"/>
  <c r="C3" i="6"/>
  <c r="B11" i="4"/>
  <c r="B6" i="5"/>
  <c r="C11" i="4"/>
  <c r="C6" i="5"/>
  <c r="D13" i="3"/>
  <c r="D8" i="3"/>
  <c r="D5" i="3"/>
  <c r="D6" i="3"/>
  <c r="D14" i="3"/>
  <c r="E5" i="3"/>
  <c r="E8" i="3"/>
  <c r="E6" i="3"/>
  <c r="E13" i="3"/>
  <c r="E14" i="3"/>
  <c r="D13" i="1"/>
  <c r="E17" i="3"/>
  <c r="D5" i="5"/>
  <c r="E36" i="3"/>
  <c r="E20" i="3"/>
  <c r="D4" i="5"/>
  <c r="C10" i="3"/>
  <c r="C37" i="3"/>
  <c r="C9" i="3"/>
  <c r="B2" i="5"/>
  <c r="B48" i="1"/>
  <c r="D37" i="3"/>
  <c r="D9" i="3"/>
  <c r="C2" i="5"/>
  <c r="D10" i="3"/>
  <c r="E10" i="3"/>
  <c r="E37" i="3"/>
  <c r="E9" i="3"/>
  <c r="D2" i="5"/>
  <c r="C62" i="1"/>
  <c r="D7" i="3"/>
  <c r="B3" i="6"/>
  <c r="B13" i="1"/>
  <c r="C13" i="1"/>
  <c r="C48" i="1"/>
  <c r="D62" i="1"/>
  <c r="C69" i="1"/>
  <c r="D48" i="1"/>
  <c r="E43" i="3" s="1"/>
  <c r="B69" i="1"/>
  <c r="A48" i="3"/>
  <c r="A5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35" i="3" l="1"/>
  <c r="C43" i="3"/>
  <c r="B13" i="4"/>
  <c r="C27" i="3"/>
  <c r="C52" i="3"/>
  <c r="C25" i="3"/>
  <c r="C26" i="3"/>
  <c r="B14" i="4"/>
  <c r="D69" i="1"/>
  <c r="E27" i="3"/>
  <c r="E52" i="3"/>
  <c r="E25" i="3"/>
  <c r="E26" i="3"/>
  <c r="C13" i="4"/>
  <c r="D43" i="3"/>
  <c r="C18" i="1"/>
  <c r="C3" i="5"/>
  <c r="D21" i="3"/>
  <c r="D49" i="3" s="1"/>
  <c r="C7" i="4"/>
  <c r="D35" i="3"/>
  <c r="B18" i="1"/>
  <c r="B3" i="5"/>
  <c r="B7" i="4"/>
  <c r="C21" i="3"/>
  <c r="C49" i="3" s="1"/>
  <c r="D18" i="1"/>
  <c r="D3" i="5"/>
  <c r="E21" i="3"/>
  <c r="E49" i="3" s="1"/>
  <c r="D52" i="3"/>
  <c r="D25" i="3"/>
  <c r="D27" i="3"/>
  <c r="C14" i="4"/>
  <c r="D26" i="3"/>
  <c r="C35" i="3"/>
  <c r="A24" i="3"/>
  <c r="A25" i="3" s="1"/>
  <c r="A26" i="3" s="1"/>
  <c r="A27" i="3" s="1"/>
  <c r="A28" i="3" s="1"/>
  <c r="A29" i="3" s="1"/>
  <c r="A30" i="3" s="1"/>
  <c r="E51" i="3" l="1"/>
  <c r="C51" i="3"/>
  <c r="C20" i="1"/>
  <c r="C7" i="5"/>
  <c r="D29" i="3"/>
  <c r="D28" i="3"/>
  <c r="D19" i="3"/>
  <c r="D18" i="3" s="1"/>
  <c r="B20" i="1"/>
  <c r="B7" i="5"/>
  <c r="C29" i="3"/>
  <c r="C28" i="3"/>
  <c r="C19" i="3"/>
  <c r="C18" i="3" s="1"/>
  <c r="D51" i="3"/>
  <c r="D20" i="1"/>
  <c r="D7" i="5"/>
  <c r="E29" i="3"/>
  <c r="E28" i="3"/>
  <c r="E19" i="3"/>
  <c r="E18" i="3" s="1"/>
  <c r="A34" i="3"/>
  <c r="A40" i="3" s="1"/>
  <c r="A41" i="3" s="1"/>
  <c r="A42" i="3" s="1"/>
  <c r="A43" i="3" s="1"/>
  <c r="A44" i="3" s="1"/>
  <c r="A45" i="3" s="1"/>
  <c r="A47" i="3" s="1"/>
  <c r="A49" i="3" s="1"/>
  <c r="A51" i="3" s="1"/>
  <c r="D22" i="1" l="1"/>
  <c r="D2" i="6"/>
  <c r="B22" i="1"/>
  <c r="B2" i="6"/>
  <c r="C22" i="1"/>
  <c r="C2" i="6"/>
  <c r="A35" i="3"/>
  <c r="A36" i="3" s="1"/>
  <c r="A37" i="3" s="1"/>
  <c r="A38" i="3" s="1"/>
  <c r="B76" i="1" l="1"/>
  <c r="B91" i="1" s="1"/>
  <c r="C38" i="3"/>
  <c r="C50" i="3"/>
  <c r="C22" i="3"/>
  <c r="C11" i="3"/>
  <c r="C48" i="3"/>
  <c r="B8" i="5"/>
  <c r="C42" i="3"/>
  <c r="C41" i="3" s="1"/>
  <c r="C45" i="3"/>
  <c r="C12" i="3"/>
  <c r="C76" i="1"/>
  <c r="C91" i="1" s="1"/>
  <c r="D50" i="3"/>
  <c r="D22" i="3"/>
  <c r="D11" i="3"/>
  <c r="D48" i="3"/>
  <c r="D42" i="3"/>
  <c r="D41" i="3" s="1"/>
  <c r="D45" i="3"/>
  <c r="C8" i="5"/>
  <c r="D38" i="3"/>
  <c r="D12" i="3"/>
  <c r="D76" i="1"/>
  <c r="D91" i="1" s="1"/>
  <c r="E45" i="3"/>
  <c r="E38" i="3"/>
  <c r="E11" i="3"/>
  <c r="E50" i="3"/>
  <c r="E22" i="3"/>
  <c r="D8" i="5"/>
  <c r="E48" i="3"/>
  <c r="E42" i="3"/>
  <c r="E41" i="3" s="1"/>
  <c r="E12" i="3"/>
  <c r="C109" i="1" l="1"/>
  <c r="D31" i="3"/>
  <c r="D30" i="3" s="1"/>
  <c r="D109" i="1"/>
  <c r="E31" i="3"/>
  <c r="E30" i="3" s="1"/>
  <c r="B109" i="1"/>
  <c r="C31" i="3"/>
  <c r="C30" i="3" s="1"/>
</calcChain>
</file>

<file path=xl/sharedStrings.xml><?xml version="1.0" encoding="utf-8"?>
<sst xmlns="http://schemas.openxmlformats.org/spreadsheetml/2006/main" count="212" uniqueCount="168">
  <si>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</si>
  <si>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</si>
  <si>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</si>
  <si>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</si>
  <si>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</si>
  <si>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</si>
  <si>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</si>
  <si>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</si>
  <si>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</si>
  <si>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</si>
  <si>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</si>
  <si>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</si>
  <si>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</si>
  <si>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</si>
  <si>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</si>
  <si>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</si>
  <si>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</si>
  <si>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</si>
  <si>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</si>
  <si>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</si>
  <si>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</si>
  <si>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</si>
  <si>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</si>
  <si>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</si>
  <si>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</si>
  <si>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</si>
  <si>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</si>
  <si>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</si>
  <si>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</si>
  <si>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</si>
  <si>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</si>
  <si>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</si>
  <si>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</si>
  <si>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</si>
  <si>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</si>
  <si>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</si>
  <si>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</si>
  <si>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</si>
  <si>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</si>
  <si>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</si>
  <si>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</si>
  <si>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</si>
  <si>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</si>
  <si>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</si>
  <si>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</si>
  <si>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</si>
  <si>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</si>
  <si>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</si>
  <si>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</si>
  <si>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</si>
  <si>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</si>
  <si>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</si>
  <si>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</si>
  <si>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</si>
  <si>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</si>
  <si>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</si>
  <si>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</si>
  <si>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</si>
  <si>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</si>
  <si>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</si>
  <si>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</si>
  <si>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</si>
  <si>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</si>
  <si>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</si>
  <si>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</si>
  <si>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</si>
  <si>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</si>
  <si>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</si>
  <si>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</si>
  <si>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</si>
  <si>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</si>
  <si>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</si>
  <si>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</si>
  <si>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</si>
  <si>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</si>
  <si>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</si>
  <si>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</si>
  <si>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</si>
  <si>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</si>
  <si>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</si>
  <si>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</si>
  <si>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</si>
  <si>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</si>
  <si>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</si>
  <si>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</si>
  <si>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</si>
  <si>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</si>
  <si>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</si>
  <si>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</si>
  <si>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</si>
  <si>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</si>
  <si>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</si>
  <si>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</si>
  <si>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</si>
  <si>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</si>
  <si>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</si>
  <si>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</si>
  <si>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</si>
  <si>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</si>
  <si>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</si>
  <si>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</si>
  <si>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</si>
  <si>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</si>
  <si>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</si>
  <si>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</si>
  <si>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</si>
  <si>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</si>
  <si>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</si>
  <si>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</si>
  <si>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</si>
  <si>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</si>
  <si>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</si>
  <si>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</si>
  <si>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</si>
  <si>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</si>
  <si>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</si>
  <si>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</si>
  <si>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</si>
  <si>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</si>
  <si>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</si>
  <si>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</si>
  <si>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</si>
  <si>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</si>
  <si>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</si>
  <si>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</si>
  <si>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</si>
  <si>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</si>
  <si>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</si>
  <si>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</si>
  <si>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</si>
  <si>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</si>
  <si>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</si>
  <si>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</si>
  <si>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</si>
  <si>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</si>
  <si>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</si>
  <si>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</si>
  <si>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</si>
  <si>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</si>
  <si>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</si>
  <si>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</si>
  <si>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</si>
  <si>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</si>
  <si>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</si>
  <si>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</si>
  <si>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</si>
  <si>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</si>
  <si>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</si>
  <si>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</si>
  <si>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</si>
  <si>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r>
      <t xml:space="preserve">Gross </t>
    </r>
    <r>
      <rPr>
        <b/>
        <sz val="11"/>
        <color rgb="FFFF0000"/>
        <rFont val="Calibri"/>
        <family val="2"/>
        <charset val="162"/>
        <scheme val="minor"/>
      </rPr>
      <t>profit</t>
    </r>
  </si>
  <si>
    <t>Growth Rates:</t>
  </si>
  <si>
    <t>Margins/ as a % of net sales:</t>
  </si>
  <si>
    <t>Net</t>
  </si>
  <si>
    <t>Sep 24, 2022</t>
  </si>
  <si>
    <t>Sep 25, 2021</t>
  </si>
  <si>
    <t>Sep 26, 2020</t>
  </si>
  <si>
    <t>Operating Expenses:</t>
  </si>
  <si>
    <t>Total Assets</t>
  </si>
  <si>
    <t>Total Liabilities</t>
  </si>
  <si>
    <t>Equity</t>
  </si>
  <si>
    <t>Key Items:</t>
  </si>
  <si>
    <t>Sales (each category and net sales):</t>
  </si>
  <si>
    <t>-</t>
  </si>
  <si>
    <t>Total Operating Expenses</t>
  </si>
  <si>
    <t>Research and development expenses</t>
  </si>
  <si>
    <t>Selling, general and administrative expenses</t>
  </si>
  <si>
    <t>Additional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</si>
</sst>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000"/>
    <numFmt numFmtId="175" formatCode="0.0000"/>
    <numFmt numFmtId="18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3" applyNumberFormat="1" applyFont="1"/>
    <xf numFmtId="9" fontId="0" fillId="0" borderId="0" xfId="3" applyNumberFormat="1" applyFont="1"/>
    <xf numFmtId="3" fontId="0" fillId="0" borderId="0" xfId="1" applyNumberFormat="1" applyFont="1"/>
    <xf numFmtId="164" fontId="0" fillId="0" borderId="0" xfId="1" applyFont="1"/>
    <xf numFmtId="175" fontId="0" fillId="0" borderId="0" xfId="0" applyNumberFormat="1"/>
    <xf numFmtId="165" fontId="0" fillId="0" borderId="0" xfId="0" applyNumberFormat="1"/>
    <xf numFmtId="43" fontId="0" fillId="0" borderId="0" xfId="0" applyNumberFormat="1"/>
    <xf numFmtId="186" fontId="0" fillId="0" borderId="0" xfId="0" applyNumberFormat="1"/>
    <xf numFmtId="2" fontId="0" fillId="0" borderId="0" xfId="0" applyNumberFormat="1"/>
    <xf numFmtId="0" fontId="0" fillId="0" borderId="5" xfId="0" applyBorder="1"/>
    <xf numFmtId="0" fontId="8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11" xfId="0" applyFont="1" applyBorder="1"/>
    <xf numFmtId="0" fontId="0" fillId="0" borderId="11" xfId="0" applyBorder="1"/>
    <xf numFmtId="10" fontId="0" fillId="0" borderId="4" xfId="3" applyNumberFormat="1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15" xfId="3" applyNumberFormat="1" applyFont="1" applyBorder="1"/>
    <xf numFmtId="0" fontId="8" fillId="0" borderId="17" xfId="0" applyFont="1" applyBorder="1"/>
    <xf numFmtId="10" fontId="0" fillId="0" borderId="18" xfId="3" applyNumberFormat="1" applyFont="1" applyBorder="1"/>
    <xf numFmtId="0" fontId="0" fillId="0" borderId="19" xfId="0" applyBorder="1" applyAlignment="1">
      <alignment horizontal="center"/>
    </xf>
    <xf numFmtId="0" fontId="8" fillId="0" borderId="20" xfId="0" applyFont="1" applyFill="1" applyBorder="1"/>
    <xf numFmtId="0" fontId="0" fillId="0" borderId="21" xfId="0" applyBorder="1" applyAlignment="1">
      <alignment horizontal="center"/>
    </xf>
    <xf numFmtId="10" fontId="0" fillId="0" borderId="12" xfId="3" applyNumberFormat="1" applyFont="1" applyBorder="1"/>
    <xf numFmtId="0" fontId="0" fillId="0" borderId="14" xfId="0" applyBorder="1"/>
    <xf numFmtId="0" fontId="0" fillId="0" borderId="6" xfId="0" applyBorder="1"/>
    <xf numFmtId="10" fontId="0" fillId="0" borderId="22" xfId="3" applyNumberFormat="1" applyFont="1" applyBorder="1"/>
    <xf numFmtId="10" fontId="0" fillId="0" borderId="23" xfId="3" applyNumberFormat="1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7" xfId="3" applyNumberFormat="1" applyFont="1" applyBorder="1"/>
    <xf numFmtId="0" fontId="0" fillId="0" borderId="17" xfId="0" applyBorder="1"/>
    <xf numFmtId="10" fontId="0" fillId="0" borderId="19" xfId="3" applyNumberFormat="1" applyFont="1" applyBorder="1"/>
    <xf numFmtId="0" fontId="0" fillId="0" borderId="24" xfId="0" applyBorder="1"/>
    <xf numFmtId="10" fontId="0" fillId="0" borderId="8" xfId="3" applyNumberFormat="1" applyFont="1" applyBorder="1"/>
    <xf numFmtId="10" fontId="0" fillId="0" borderId="10" xfId="3" applyNumberFormat="1" applyFont="1" applyBorder="1"/>
    <xf numFmtId="10" fontId="0" fillId="0" borderId="13" xfId="3" applyNumberFormat="1" applyFont="1" applyBorder="1"/>
  </cellXfs>
  <cellStyles count="4">
    <cellStyle name="Köprü" xfId="2" builtinId="8"/>
    <cellStyle name="Normal" xfId="0" builtinId="0"/>
    <cellStyle name="Virgül" xfId="1" builtinId="3"/>
    <cellStyle name="Yüzd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4.4" x14ac:dyDescent="0.3"/>
  <cols>
    <col min="1" max="1" width="101.21875" bestFit="1" customWidth="1"/>
    <col min="2" max="4" width="11.21875" bestFit="1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4" x14ac:dyDescent="0.3">
      <c r="A17" s="1" t="s">
        <v>90</v>
      </c>
    </row>
    <row r="18" spans="1:4" x14ac:dyDescent="0.3">
      <c r="A18" s="1" t="s">
        <v>14</v>
      </c>
    </row>
    <row r="19" spans="1:4" x14ac:dyDescent="0.3">
      <c r="A19" s="1" t="s">
        <v>93</v>
      </c>
    </row>
    <row r="20" spans="1:4" x14ac:dyDescent="0.3">
      <c r="A20" s="1"/>
    </row>
    <row r="21" spans="1:4" x14ac:dyDescent="0.3">
      <c r="A21" s="17" t="s">
        <v>98</v>
      </c>
      <c r="C21" s="27"/>
    </row>
    <row r="22" spans="1:4" x14ac:dyDescent="0.3">
      <c r="A22" s="1" t="s">
        <v>94</v>
      </c>
    </row>
    <row r="23" spans="1:4" x14ac:dyDescent="0.3">
      <c r="A23" s="1" t="s">
        <v>95</v>
      </c>
    </row>
    <row r="24" spans="1:4" x14ac:dyDescent="0.3">
      <c r="A24" s="1" t="s">
        <v>96</v>
      </c>
    </row>
    <row r="25" spans="1:4" x14ac:dyDescent="0.3">
      <c r="A25" s="1"/>
    </row>
    <row r="26" spans="1:4" x14ac:dyDescent="0.3">
      <c r="A26" s="17" t="s">
        <v>144</v>
      </c>
      <c r="B26" t="s">
        <v>154</v>
      </c>
      <c r="C26" t="s">
        <v>155</v>
      </c>
      <c r="D26" t="s">
        <v>156</v>
      </c>
    </row>
    <row r="27" spans="1:4" x14ac:dyDescent="0.3">
      <c r="A27" s="16" t="s">
        <v>143</v>
      </c>
      <c r="B27">
        <v>155.74</v>
      </c>
      <c r="C27">
        <v>149.80000000000001</v>
      </c>
      <c r="D27">
        <v>108.86</v>
      </c>
    </row>
    <row r="29" spans="1:4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15"/>
  <sheetViews>
    <sheetView workbookViewId="0">
      <selection activeCell="D29" sqref="D29"/>
    </sheetView>
  </sheetViews>
  <sheetFormatPr defaultRowHeight="14.4" x14ac:dyDescent="0.3"/>
  <cols>
    <col min="1" max="1" width="38.6640625" customWidth="1"/>
  </cols>
  <sheetData>
    <row r="1" spans="1:4" ht="23.4" x14ac:dyDescent="0.45">
      <c r="A1" s="5" t="s">
        <v>151</v>
      </c>
    </row>
    <row r="2" spans="1:4" ht="15" thickBot="1" x14ac:dyDescent="0.35">
      <c r="A2" s="7"/>
      <c r="B2">
        <v>2022</v>
      </c>
      <c r="C2">
        <v>2021</v>
      </c>
      <c r="D2">
        <v>2020</v>
      </c>
    </row>
    <row r="3" spans="1:4" x14ac:dyDescent="0.3">
      <c r="A3" s="37" t="s">
        <v>162</v>
      </c>
      <c r="B3" s="38"/>
      <c r="C3" s="38"/>
      <c r="D3" s="39"/>
    </row>
    <row r="4" spans="1:4" x14ac:dyDescent="0.3">
      <c r="A4" s="40" t="s">
        <v>4</v>
      </c>
      <c r="B4" s="43">
        <f>('Financial Statements'!B6-'Financial Statements'!C6)/'Financial Statements'!C6</f>
        <v>6.3239764351428418E-2</v>
      </c>
      <c r="C4" s="43">
        <f>('Financial Statements'!C6-'Financial Statements'!D6)/'Financial Statements'!D6</f>
        <v>0.34720743656765435</v>
      </c>
      <c r="D4" s="44" t="s">
        <v>163</v>
      </c>
    </row>
    <row r="5" spans="1:4" x14ac:dyDescent="0.3">
      <c r="A5" s="40" t="s">
        <v>5</v>
      </c>
      <c r="B5" s="43">
        <f>('Financial Statements'!B7-'Financial Statements'!C7)/'Financial Statements'!C7</f>
        <v>0.14181951041286078</v>
      </c>
      <c r="C5" s="43">
        <f>('Financial Statements'!C7-'Financial Statements'!D7)/'Financial Statements'!D7</f>
        <v>0.27259708376729652</v>
      </c>
      <c r="D5" s="44" t="s">
        <v>163</v>
      </c>
    </row>
    <row r="6" spans="1:4" ht="15" thickBot="1" x14ac:dyDescent="0.35">
      <c r="A6" s="41" t="s">
        <v>153</v>
      </c>
      <c r="B6" s="43">
        <f>('Financial Statements'!B8-'Financial Statements'!C8)/'Financial Statements'!C8</f>
        <v>7.7937876041846058E-2</v>
      </c>
      <c r="C6" s="43">
        <f>('Financial Statements'!C8-'Financial Statements'!D8)/'Financial Statements'!D8</f>
        <v>0.33259384733074693</v>
      </c>
      <c r="D6" s="45" t="s">
        <v>163</v>
      </c>
    </row>
    <row r="7" spans="1:4" ht="15" thickBot="1" x14ac:dyDescent="0.35">
      <c r="A7" s="48" t="s">
        <v>89</v>
      </c>
      <c r="B7" s="49">
        <f>('Financial Statements'!B13-'Financial Statements'!C13)/'Financial Statements'!C13</f>
        <v>0.11741997958596143</v>
      </c>
      <c r="C7" s="49">
        <f>('Financial Statements'!C13-'Financial Statements'!D13)/'Financial Statements'!D13</f>
        <v>0.45619116582186819</v>
      </c>
      <c r="D7" s="50" t="s">
        <v>163</v>
      </c>
    </row>
    <row r="8" spans="1:4" x14ac:dyDescent="0.3">
      <c r="A8" s="37" t="s">
        <v>157</v>
      </c>
      <c r="B8" s="38"/>
      <c r="C8" s="38"/>
      <c r="D8" s="46"/>
    </row>
    <row r="9" spans="1:4" x14ac:dyDescent="0.3">
      <c r="A9" s="40" t="s">
        <v>11</v>
      </c>
      <c r="B9" s="43">
        <f>('Financial Statements'!B15-'Financial Statements'!C15)/'Financial Statements'!C15</f>
        <v>0.19791001186456147</v>
      </c>
      <c r="C9" s="43">
        <f>('Financial Statements'!C15-'Financial Statements'!D15)/'Financial Statements'!D15</f>
        <v>0.16862201365187712</v>
      </c>
      <c r="D9" s="44" t="s">
        <v>163</v>
      </c>
    </row>
    <row r="10" spans="1:4" x14ac:dyDescent="0.3">
      <c r="A10" s="40" t="s">
        <v>12</v>
      </c>
      <c r="B10" s="43">
        <f>('Financial Statements'!B16-'Financial Statements'!C16)/'Financial Statements'!C16</f>
        <v>0.14203795567287125</v>
      </c>
      <c r="C10" s="43">
        <f>('Financial Statements'!C16-'Financial Statements'!D16)/'Financial Statements'!D16</f>
        <v>0.10328379192608958</v>
      </c>
      <c r="D10" s="44" t="s">
        <v>163</v>
      </c>
    </row>
    <row r="11" spans="1:4" ht="15" thickBot="1" x14ac:dyDescent="0.35">
      <c r="A11" s="42" t="s">
        <v>164</v>
      </c>
      <c r="B11" s="43">
        <f>('Financial Statements'!B17-'Financial Statements'!C17)/'Financial Statements'!C17</f>
        <v>0.16993642764372138</v>
      </c>
      <c r="C11" s="43">
        <f>('Financial Statements'!C17-'Financial Statements'!D17)/'Financial Statements'!D17</f>
        <v>0.13496948381090307</v>
      </c>
      <c r="D11" s="45" t="s">
        <v>163</v>
      </c>
    </row>
    <row r="12" spans="1:4" x14ac:dyDescent="0.3">
      <c r="A12" s="51" t="s">
        <v>161</v>
      </c>
      <c r="B12" s="36"/>
      <c r="C12" s="36"/>
      <c r="D12" s="52"/>
    </row>
    <row r="13" spans="1:4" x14ac:dyDescent="0.3">
      <c r="A13" s="40" t="s">
        <v>158</v>
      </c>
      <c r="B13" s="43">
        <f>('Financial Statements'!B48-'Financial Statements'!C48)/'Financial Statements'!C48</f>
        <v>4.9942735369029236E-3</v>
      </c>
      <c r="C13" s="43">
        <f>('Financial Statements'!C48-'Financial Statements'!D48)/'Financial Statements'!D48</f>
        <v>8.3714123400681711E-2</v>
      </c>
      <c r="D13" s="44" t="s">
        <v>163</v>
      </c>
    </row>
    <row r="14" spans="1:4" x14ac:dyDescent="0.3">
      <c r="A14" s="40" t="s">
        <v>159</v>
      </c>
      <c r="B14" s="43">
        <f>('Financial Statements'!B62-'Financial Statements'!C62)/'Financial Statements'!C62</f>
        <v>4.9219900525160468E-2</v>
      </c>
      <c r="C14" s="43">
        <f>('Financial Statements'!C62-'Financial Statements'!D62)/'Financial Statements'!D62</f>
        <v>0.11356841449783213</v>
      </c>
      <c r="D14" s="44" t="s">
        <v>163</v>
      </c>
    </row>
    <row r="15" spans="1:4" ht="15" thickBot="1" x14ac:dyDescent="0.35">
      <c r="A15" s="42" t="s">
        <v>160</v>
      </c>
      <c r="B15" s="53">
        <f>('Financial Statements'!B68-'Financial Statements'!C68)/'Financial Statements'!C68</f>
        <v>-0.19682992550324932</v>
      </c>
      <c r="C15" s="53">
        <f>('Financial Statements'!C68-'Financial Statements'!D68)/'Financial Statements'!D68</f>
        <v>-3.4420483937617659E-2</v>
      </c>
      <c r="D15" s="45" t="s">
        <v>163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FD8"/>
  <sheetViews>
    <sheetView workbookViewId="0">
      <selection activeCell="D8" sqref="D8"/>
    </sheetView>
  </sheetViews>
  <sheetFormatPr defaultRowHeight="14.4" x14ac:dyDescent="0.3"/>
  <cols>
    <col min="1" max="1" width="40.6640625" bestFit="1" customWidth="1"/>
  </cols>
  <sheetData>
    <row r="1" spans="1:16384" ht="24" thickBot="1" x14ac:dyDescent="0.5">
      <c r="A1" s="5" t="s">
        <v>152</v>
      </c>
      <c r="B1" s="58">
        <v>2022</v>
      </c>
      <c r="C1" s="59">
        <v>2021</v>
      </c>
      <c r="D1" s="60">
        <v>2020</v>
      </c>
    </row>
    <row r="2" spans="1:16384" ht="15" thickBot="1" x14ac:dyDescent="0.35">
      <c r="A2" s="54" t="s">
        <v>146</v>
      </c>
      <c r="B2" s="56">
        <f>'Financial Statements'!B12/'Financial Statements'!B8</f>
        <v>0.56690369438639909</v>
      </c>
      <c r="C2" s="56">
        <f>'Financial Statements'!C12/'Financial Statements'!C8</f>
        <v>0.58220640374832222</v>
      </c>
      <c r="D2" s="57">
        <f>'Financial Statements'!D12/'Financial Statements'!D8</f>
        <v>0.61766752272189129</v>
      </c>
    </row>
    <row r="3" spans="1:16384" ht="15" thickBot="1" x14ac:dyDescent="0.35">
      <c r="A3" s="62" t="s">
        <v>89</v>
      </c>
      <c r="B3" s="49">
        <f>'Financial Statements'!B13/'Financial Statements'!B8</f>
        <v>0.43309630561360085</v>
      </c>
      <c r="C3" s="49">
        <f>'Financial Statements'!C13/'Financial Statements'!C8</f>
        <v>0.41779359625167778</v>
      </c>
      <c r="D3" s="63">
        <f>'Financial Statements'!D13/'Financial Statements'!D8</f>
        <v>0.38233247727810865</v>
      </c>
    </row>
    <row r="4" spans="1:16384" x14ac:dyDescent="0.3">
      <c r="A4" s="55" t="s">
        <v>165</v>
      </c>
      <c r="B4" s="61">
        <f>'Financial Statements'!B15/'Financial Statements'!B$8</f>
        <v>6.657148363798665E-2</v>
      </c>
      <c r="C4" s="61">
        <f>'Financial Statements'!C15/'Financial Statements'!C$8</f>
        <v>5.9904269074427925E-2</v>
      </c>
      <c r="D4" s="65">
        <f>'Financial Statements'!D15/'Financial Statements'!D$8</f>
        <v>6.8309564140393061E-2</v>
      </c>
    </row>
    <row r="5" spans="1:16384" x14ac:dyDescent="0.3">
      <c r="A5" s="40" t="s">
        <v>166</v>
      </c>
      <c r="B5" s="43">
        <f>'Financial Statements'!B16/'Financial Statements'!B$8</f>
        <v>6.3637378020328261E-2</v>
      </c>
      <c r="C5" s="43">
        <f>'Financial Statements'!C16/'Financial Statements'!C$8</f>
        <v>6.006555190163388E-2</v>
      </c>
      <c r="D5" s="66">
        <f>'Financial Statements'!D16/'Financial Statements'!D$8</f>
        <v>7.2549769593646979E-2</v>
      </c>
    </row>
    <row r="6" spans="1:16384" ht="15" thickBot="1" x14ac:dyDescent="0.35">
      <c r="A6" s="42" t="s">
        <v>13</v>
      </c>
      <c r="B6" s="53">
        <f>'Financial Statements'!B17/'Financial Statements'!B$8</f>
        <v>0.13020886165831491</v>
      </c>
      <c r="C6" s="53">
        <f>'Financial Statements'!C17/'Financial Statements'!C$8</f>
        <v>0.11996982097606181</v>
      </c>
      <c r="D6" s="67">
        <f>'Financial Statements'!D17/'Financial Statements'!D$8</f>
        <v>0.14085933373404003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pans="1:16384" ht="15" thickBot="1" x14ac:dyDescent="0.35">
      <c r="A7" s="64" t="s">
        <v>14</v>
      </c>
      <c r="B7" s="56">
        <f>'Financial Statements'!B18/'Financial Statements'!B$8</f>
        <v>0.30288744395528594</v>
      </c>
      <c r="C7" s="56">
        <f>'Financial Statements'!C18/'Financial Statements'!C$8</f>
        <v>0.29782377527561593</v>
      </c>
      <c r="D7" s="56">
        <f>'Financial Statements'!D18/'Financial Statements'!D$8</f>
        <v>0.24147314354406862</v>
      </c>
    </row>
    <row r="8" spans="1:16384" ht="15" thickBot="1" x14ac:dyDescent="0.35">
      <c r="A8" s="54" t="s">
        <v>93</v>
      </c>
      <c r="B8" s="47">
        <f>'Financial Statements'!B22/'Financial Statements'!B$8</f>
        <v>0.25309640705199732</v>
      </c>
      <c r="C8" s="47">
        <f>'Financial Statements'!C22/'Financial Statements'!C$8</f>
        <v>0.25881793355694238</v>
      </c>
      <c r="D8" s="47">
        <f>'Financial Statements'!D22/'Financial Statements'!D$8</f>
        <v>0.20913611278072236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4"/>
  <sheetViews>
    <sheetView workbookViewId="0">
      <selection activeCell="A29" sqref="A29"/>
    </sheetView>
  </sheetViews>
  <sheetFormatPr defaultRowHeight="14.4" x14ac:dyDescent="0.3"/>
  <cols>
    <col min="1" max="1" width="41.5546875" bestFit="1" customWidth="1"/>
    <col min="2" max="4" width="6.88671875" bestFit="1" customWidth="1"/>
  </cols>
  <sheetData>
    <row r="1" spans="1:4" ht="24" thickBot="1" x14ac:dyDescent="0.5">
      <c r="A1" s="5" t="s">
        <v>167</v>
      </c>
      <c r="B1" s="58">
        <v>2022</v>
      </c>
      <c r="C1" s="59">
        <v>2021</v>
      </c>
      <c r="D1" s="60">
        <v>2020</v>
      </c>
    </row>
    <row r="2" spans="1:4" x14ac:dyDescent="0.3">
      <c r="A2" s="1" t="s">
        <v>94</v>
      </c>
      <c r="B2" s="27">
        <f>'Financial Statements'!B113/'Financial Statements'!B20</f>
        <v>0.1643367505436471</v>
      </c>
      <c r="C2" s="27">
        <f>'Financial Statements'!C113/'Financial Statements'!C20</f>
        <v>0.23244846942045841</v>
      </c>
      <c r="D2" s="27">
        <f>'Financial Statements'!D113/'Financial Statements'!D20</f>
        <v>0.14161362924982487</v>
      </c>
    </row>
    <row r="3" spans="1:4" x14ac:dyDescent="0.3">
      <c r="A3" s="1" t="s">
        <v>95</v>
      </c>
      <c r="B3" s="27">
        <f>-'Financial Statements'!B99/'Financial Statements'!B8</f>
        <v>5.6688847862692987E-2</v>
      </c>
      <c r="C3" s="27">
        <f>-'Financial Statements'!C99/'Financial Statements'!C8</f>
        <v>3.9760317317128507E-2</v>
      </c>
      <c r="D3" s="27">
        <f>-'Financial Statements'!D99/'Financial Statements'!D8</f>
        <v>1.5623918547256069E-2</v>
      </c>
    </row>
    <row r="4" spans="1:4" x14ac:dyDescent="0.3">
      <c r="A4" s="1" t="s">
        <v>96</v>
      </c>
      <c r="B4" s="27">
        <f>-'Financial Statements'!B99/'Financial Statements'!B45</f>
        <v>0.53075955077522141</v>
      </c>
      <c r="C4" s="27">
        <f>-'Financial Statements'!C99/'Financial Statements'!C45</f>
        <v>0.36878803245436104</v>
      </c>
      <c r="D4" s="27">
        <f>-'Financial Statements'!D99/'Financial Statements'!D45</f>
        <v>0.11665669368438231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32" workbookViewId="0">
      <selection activeCell="B20" sqref="B20"/>
    </sheetView>
  </sheetViews>
  <sheetFormatPr defaultRowHeight="14.4" x14ac:dyDescent="0.3"/>
  <cols>
    <col min="1" max="1" width="138.44140625" bestFit="1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150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7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3">
      <c r="A35" t="s">
        <v>25</v>
      </c>
    </row>
    <row r="36" spans="1:7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7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7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3">
      <c r="A43" t="s">
        <v>48</v>
      </c>
      <c r="B43" s="12"/>
      <c r="C43" s="12"/>
      <c r="D43" s="12"/>
    </row>
    <row r="44" spans="1:7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7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 s="32"/>
      <c r="G48" s="32"/>
    </row>
    <row r="49" spans="1:7" ht="15" thickTop="1" x14ac:dyDescent="0.3">
      <c r="G49" s="32"/>
    </row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" workbookViewId="0">
      <selection activeCell="C42" sqref="C42"/>
    </sheetView>
  </sheetViews>
  <sheetFormatPr defaultRowHeight="14.4" x14ac:dyDescent="0.3"/>
  <cols>
    <col min="1" max="1" width="4.6640625" customWidth="1"/>
    <col min="2" max="2" width="65.5546875" bestFit="1" customWidth="1"/>
    <col min="3" max="5" width="13.88671875" bestFit="1" customWidth="1"/>
    <col min="7" max="9" width="10.10937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">
        <f>'Financial Statements'!B42/('Financial Statements'!B17/365)</f>
        <v>962.56354075372474</v>
      </c>
      <c r="D8" s="2">
        <f>'Financial Statements'!C42/('Financial Statements'!C17/365)</f>
        <v>1121.4058832911796</v>
      </c>
      <c r="E8" s="2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29">
        <f>('Financial Statements'!B39/'Financial Statements'!B12)*365</f>
        <v>8.0756980666171607</v>
      </c>
      <c r="D9" s="29">
        <f>('Financial Statements'!C39/'Financial Statements'!C12)*365</f>
        <v>11.27659274770989</v>
      </c>
      <c r="E9" s="29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">
        <f>'Financial Statements'!B51*365/'Financial Statements'!B12</f>
        <v>104.68527730310539</v>
      </c>
      <c r="D10" s="2">
        <f>'Financial Statements'!C51*365/'Financial Statements'!C12</f>
        <v>93.85107122231561</v>
      </c>
      <c r="E10" s="2">
        <f>'Financial Statements'!D51*365/'Financial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">
        <f>('Financial Statements'!B38/'Financial Statements'!B22*365)</f>
        <v>103.07465707443664</v>
      </c>
      <c r="D11" s="2">
        <f>('Financial Statements'!C38/'Financial Statements'!C22*365)</f>
        <v>101.3040768905788</v>
      </c>
      <c r="E11" s="2">
        <f>('Financial Statements'!D38/'Financial Statements'!D22*365)</f>
        <v>102.48558638588425</v>
      </c>
    </row>
    <row r="12" spans="1:10" x14ac:dyDescent="0.3">
      <c r="A12" s="18">
        <f t="shared" si="0"/>
        <v>1.8000000000000007</v>
      </c>
      <c r="B12" s="1" t="s">
        <v>107</v>
      </c>
      <c r="C12" s="2">
        <f>('Financial Statements'!B39/'Financial Statements'!B12)+('Financial Statements'!B38/'Financial Statements'!B22*365)-('Financial Statements'!B51/'Financial Statements'!B12/365)</f>
        <v>103.09599649659474</v>
      </c>
      <c r="D12" s="2">
        <f>('Financial Statements'!C39/'Financial Statements'!C12)+('Financial Statements'!C38/'Financial Statements'!C22*365)-('Financial Statements'!C51/'Financial Statements'!C12/365)</f>
        <v>101.33426720982587</v>
      </c>
      <c r="E12" s="2">
        <f>('Financial Statements'!D39/'Financial Statements'!D12)+('Financial Statements'!D38/'Financial Statements'!D22*365)-('Financial Statements'!D51/'Financial Statements'!D12/365)</f>
        <v>102.50885333454487</v>
      </c>
    </row>
    <row r="13" spans="1:10" x14ac:dyDescent="0.3">
      <c r="A13" s="18">
        <f t="shared" si="0"/>
        <v>1.9000000000000008</v>
      </c>
      <c r="B13" s="1" t="s">
        <v>108</v>
      </c>
      <c r="C13" s="28">
        <f>('Financial Statements'!B42-'Financial Statements'!B56)/'Financial Statements'!B8</f>
        <v>-4.711052727678481E-2</v>
      </c>
      <c r="D13" s="28">
        <f>('Financial Statements'!C42-'Financial Statements'!C56)/'Financial Statements'!C8</f>
        <v>2.557289573748623E-2</v>
      </c>
      <c r="E13" s="28">
        <f>('Financial Statements'!D42-'Financial Statements'!D56)/'Financial Statements'!D8</f>
        <v>0.13959528623208203</v>
      </c>
    </row>
    <row r="14" spans="1:10" x14ac:dyDescent="0.3">
      <c r="A14" s="18"/>
      <c r="B14" s="3" t="s">
        <v>109</v>
      </c>
      <c r="C14" s="2">
        <f>'Financial Statements'!B42-'Financial Statements'!B56</f>
        <v>-18577</v>
      </c>
      <c r="D14" s="2">
        <f>'Financial Statements'!C42-'Financial Statements'!C56</f>
        <v>9355</v>
      </c>
      <c r="E14" s="2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9" x14ac:dyDescent="0.3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</row>
    <row r="18" spans="1:9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9" x14ac:dyDescent="0.3">
      <c r="A19" s="18"/>
      <c r="B19" s="3" t="s">
        <v>112</v>
      </c>
      <c r="C19" s="2">
        <f>'Financial Statements'!B18+'Financial Statements'!B79</f>
        <v>130541</v>
      </c>
      <c r="D19" s="2">
        <f>'Financial Statements'!C18+'Financial Statements'!C79</f>
        <v>120233</v>
      </c>
      <c r="E19" s="2">
        <f>'Financial Statements'!D18+'Financial Statements'!D79</f>
        <v>77344</v>
      </c>
      <c r="G19" s="2"/>
      <c r="H19" s="2"/>
      <c r="I19" s="2"/>
    </row>
    <row r="20" spans="1:9" x14ac:dyDescent="0.3">
      <c r="A20" s="18">
        <f>+A18+0.1</f>
        <v>2.3000000000000003</v>
      </c>
      <c r="B20" s="1" t="s">
        <v>113</v>
      </c>
      <c r="C20" s="24">
        <f>('Financial Statements'!B8-'Financial Statements'!B12-'Financial Statements'!B17)/'Financial Statements'!B8</f>
        <v>0.30288744395528594</v>
      </c>
      <c r="D20" s="24">
        <f>('Financial Statements'!C8-'Financial Statements'!C12-'Financial Statements'!C17)/'Financial Statements'!C8</f>
        <v>0.29782377527561593</v>
      </c>
      <c r="E20" s="24">
        <f>('Financial Statements'!D8-'Financial Statements'!D12-'Financial Statements'!D17)/'Financial Statements'!D8</f>
        <v>0.24147314354406862</v>
      </c>
      <c r="G20" s="12"/>
      <c r="H20" s="12"/>
      <c r="I20" s="12"/>
    </row>
    <row r="21" spans="1:9" x14ac:dyDescent="0.3">
      <c r="A21" s="18"/>
      <c r="B21" s="3" t="s">
        <v>114</v>
      </c>
      <c r="C21" s="2">
        <f>'Financial Statements'!B13-'Financial Statements'!B17</f>
        <v>119437</v>
      </c>
      <c r="D21" s="2">
        <f>'Financial Statements'!C13-'Financial Statements'!C17</f>
        <v>108949</v>
      </c>
      <c r="E21" s="2">
        <f>'Financial Statements'!D13-'Financial Statements'!D17</f>
        <v>66288</v>
      </c>
    </row>
    <row r="22" spans="1:9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9" x14ac:dyDescent="0.3">
      <c r="A23" s="18"/>
    </row>
    <row r="24" spans="1:9" x14ac:dyDescent="0.3">
      <c r="A24" s="18">
        <f>+A16+1</f>
        <v>3</v>
      </c>
      <c r="B24" s="7" t="s">
        <v>116</v>
      </c>
    </row>
    <row r="25" spans="1:9" x14ac:dyDescent="0.3">
      <c r="A25" s="18">
        <f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9" x14ac:dyDescent="0.3">
      <c r="A26" s="18">
        <f t="shared" ref="A26:A30" si="1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9" x14ac:dyDescent="0.3">
      <c r="A27" s="18">
        <f t="shared" si="1"/>
        <v>3.3000000000000003</v>
      </c>
      <c r="B27" s="1" t="s">
        <v>119</v>
      </c>
      <c r="C27" s="24">
        <f>'Financial Statements'!B62/('Financial Statements'!B69)</f>
        <v>0.85635355983614692</v>
      </c>
      <c r="D27" s="24">
        <f>'Financial Statements'!C62/('Financial Statements'!C69)</f>
        <v>0.82025743443057308</v>
      </c>
      <c r="E27" s="24">
        <f>'Financial Statements'!D62/('Financial Statements'!D69)</f>
        <v>0.79826668477992391</v>
      </c>
    </row>
    <row r="28" spans="1:9" x14ac:dyDescent="0.3">
      <c r="A28" s="18">
        <f t="shared" si="1"/>
        <v>3.4000000000000004</v>
      </c>
      <c r="B28" s="1" t="s">
        <v>120</v>
      </c>
      <c r="C28" s="31">
        <f>'Financial Statements'!B18/'Financial Statements'!B114</f>
        <v>41.68830715532286</v>
      </c>
      <c r="D28" s="31">
        <f>'Financial Statements'!C18/'Financial Statements'!C114</f>
        <v>40.546706363974693</v>
      </c>
      <c r="E28" s="31">
        <f>'Financial Statements'!D18/'Financial Statements'!D114</f>
        <v>22.081279147235175</v>
      </c>
    </row>
    <row r="29" spans="1:9" x14ac:dyDescent="0.3">
      <c r="A29" s="18">
        <f t="shared" si="1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</row>
    <row r="30" spans="1:9" x14ac:dyDescent="0.3">
      <c r="A30" s="18">
        <f t="shared" si="1"/>
        <v>3.6000000000000005</v>
      </c>
      <c r="B30" s="1" t="s">
        <v>122</v>
      </c>
      <c r="C30" s="33">
        <f>C31/'Financial Statements'!B28*1000</f>
        <v>7.7134261993226803</v>
      </c>
      <c r="D30" s="33">
        <f>D31/'Financial Statements'!C28*1000</f>
        <v>7.5860429569807009</v>
      </c>
      <c r="E30" s="33">
        <f>E31/'Financial Statements'!D28*1000</f>
        <v>7.0334604540998873</v>
      </c>
    </row>
    <row r="31" spans="1:9" x14ac:dyDescent="0.3">
      <c r="A31" s="18"/>
      <c r="B31" s="3" t="s">
        <v>123</v>
      </c>
      <c r="C31" s="34">
        <f>'Financial Statements'!B91-'Financial Statements'!B99+'List of Ratios'!C14</f>
        <v>125928</v>
      </c>
      <c r="D31" s="34">
        <f>'Financial Statements'!C91-'Financial Statements'!C99+'List of Ratios'!D14</f>
        <v>127938</v>
      </c>
      <c r="E31" s="34">
        <f>'Financial Statements'!D91-'Financial Statements'!D99+'List of Ratios'!E14</f>
        <v>123284</v>
      </c>
    </row>
    <row r="32" spans="1:9" x14ac:dyDescent="0.3">
      <c r="A32" s="18"/>
      <c r="B32" s="3"/>
    </row>
    <row r="33" spans="1:5" x14ac:dyDescent="0.3">
      <c r="A33" s="18"/>
      <c r="C33" s="30"/>
      <c r="D33" s="2"/>
      <c r="E33" s="2"/>
    </row>
    <row r="34" spans="1:5" x14ac:dyDescent="0.3">
      <c r="A34" s="18">
        <f>+A24+1</f>
        <v>4</v>
      </c>
      <c r="B34" s="17" t="s">
        <v>124</v>
      </c>
    </row>
    <row r="35" spans="1:5" x14ac:dyDescent="0.3">
      <c r="A35" s="18">
        <f>+A34+0.1</f>
        <v>4.0999999999999996</v>
      </c>
      <c r="B35" s="1" t="s">
        <v>125</v>
      </c>
      <c r="C35" s="31">
        <f>'Financial Statements'!B8/'Financial Statements'!B48</f>
        <v>1.1178523337727317</v>
      </c>
      <c r="D35" s="31">
        <f>'Financial Statements'!C8/'Financial Statements'!C48</f>
        <v>1.0422077367080529</v>
      </c>
      <c r="E35" s="31">
        <f>'Financial Statements'!D8/'Financial Statements'!D48</f>
        <v>0.84756150274168851</v>
      </c>
    </row>
    <row r="36" spans="1:5" x14ac:dyDescent="0.3">
      <c r="A36" s="18">
        <f t="shared" ref="A36:A38" si="2">+A35+0.1</f>
        <v>4.1999999999999993</v>
      </c>
      <c r="B36" s="1" t="s">
        <v>126</v>
      </c>
      <c r="C36" s="31">
        <f>'Financial Statements'!B8/'Financial Statements'!B45</f>
        <v>9.3626801529073767</v>
      </c>
      <c r="D36" s="31">
        <f>'Financial Statements'!C8/'Financial Statements'!C45</f>
        <v>9.2752789046653152</v>
      </c>
      <c r="E36" s="31">
        <f>'Financial Statements'!D8/'Financial Statements'!D45</f>
        <v>7.4665451776097482</v>
      </c>
    </row>
    <row r="37" spans="1:5" x14ac:dyDescent="0.3">
      <c r="A37" s="18">
        <f t="shared" si="2"/>
        <v>4.2999999999999989</v>
      </c>
      <c r="B37" s="1" t="s">
        <v>127</v>
      </c>
      <c r="C37" s="31">
        <f>'Financial Statements'!B12/'Financial Statements'!B39</f>
        <v>45.197331176708452</v>
      </c>
      <c r="D37" s="31">
        <f>'Financial Statements'!C12/'Financial Statements'!C39</f>
        <v>32.367933130699086</v>
      </c>
      <c r="E37" s="31">
        <f>'Financial Statements'!D12/'Financial Statements'!D39</f>
        <v>41.753016498399411</v>
      </c>
    </row>
    <row r="38" spans="1:5" x14ac:dyDescent="0.3">
      <c r="A38" s="18">
        <f t="shared" si="2"/>
        <v>4.3999999999999986</v>
      </c>
      <c r="B38" s="1" t="s">
        <v>128</v>
      </c>
      <c r="C38" s="24">
        <f>'Financial Statements'!B22/'Financial Statements'!B48</f>
        <v>0.28292440929256851</v>
      </c>
      <c r="D38" s="24">
        <f>'Financial Statements'!C22/'Financial Statements'!C48</f>
        <v>0.26974205275183616</v>
      </c>
      <c r="E38" s="24">
        <f>'Financial Statements'!D22/'Financial Statements'!D48</f>
        <v>0.1772557180259843</v>
      </c>
    </row>
    <row r="39" spans="1:5" x14ac:dyDescent="0.3">
      <c r="A39" s="18"/>
    </row>
    <row r="40" spans="1:5" x14ac:dyDescent="0.3">
      <c r="A40" s="18">
        <f>+A34+1</f>
        <v>5</v>
      </c>
      <c r="B40" s="17" t="s">
        <v>129</v>
      </c>
    </row>
    <row r="41" spans="1:5" x14ac:dyDescent="0.3">
      <c r="A41" s="18">
        <f>+A40+0.1</f>
        <v>5.0999999999999996</v>
      </c>
      <c r="B41" s="1" t="s">
        <v>130</v>
      </c>
      <c r="C41" s="31">
        <f>Instructions!B27/'List of Ratios'!C42</f>
        <v>25.476018266585175</v>
      </c>
      <c r="D41" s="31">
        <f>Instructions!C27/'List of Ratios'!D42</f>
        <v>26.683194615547112</v>
      </c>
      <c r="E41" s="31">
        <f>Instructions!D27/'List of Ratios'!E42</f>
        <v>33.236163384020486</v>
      </c>
    </row>
    <row r="42" spans="1:5" x14ac:dyDescent="0.3">
      <c r="A42" s="18">
        <f t="shared" ref="A42:A45" si="3">+A41+0.1</f>
        <v>5.1999999999999993</v>
      </c>
      <c r="B42" s="3" t="s">
        <v>131</v>
      </c>
      <c r="C42" s="31">
        <f>'Financial Statements'!B22/'Financial Statements'!B28*1000</f>
        <v>6.1132002014722815</v>
      </c>
      <c r="D42" s="31">
        <f>'Financial Statements'!C22/'Financial Statements'!C28*1000</f>
        <v>5.6140204408927188</v>
      </c>
      <c r="E42" s="31">
        <f>'Financial Statements'!D22/'Financial Statements'!D28*1000</f>
        <v>3.2753479618630852</v>
      </c>
    </row>
    <row r="43" spans="1:5" x14ac:dyDescent="0.3">
      <c r="A43" s="18">
        <f t="shared" si="3"/>
        <v>5.2999999999999989</v>
      </c>
      <c r="B43" s="1" t="s">
        <v>132</v>
      </c>
      <c r="C43" s="35">
        <f>Instructions!B27/(('Financial Statements'!B48-'Financial Statements'!B62)/'Financial Statements'!B68)</f>
        <v>155.74</v>
      </c>
      <c r="D43" s="35">
        <f>Instructions!C27/(('Financial Statements'!C48-'Financial Statements'!C62)/'Financial Statements'!C68)</f>
        <v>149.80000000000001</v>
      </c>
      <c r="E43" s="35">
        <f>Instructions!D27/(('Financial Statements'!D48-'Financial Statements'!D62)/'Financial Statements'!D68)</f>
        <v>108.86</v>
      </c>
    </row>
    <row r="44" spans="1:5" x14ac:dyDescent="0.3">
      <c r="A44" s="18">
        <f t="shared" si="3"/>
        <v>5.3999999999999986</v>
      </c>
      <c r="B44" s="3" t="s">
        <v>133</v>
      </c>
      <c r="C44" s="31">
        <f>'Financial Statements'!B68/'Financial Statements'!B28*1000</f>
        <v>3.1037952827971451</v>
      </c>
      <c r="D44" s="31">
        <f>'Financial Statements'!C68/'Financial Statements'!C28*1000</f>
        <v>3.740901453484597</v>
      </c>
      <c r="E44" s="31">
        <f>'Financial Statements'!D68/'Financial Statements'!D28*1000</f>
        <v>3.7276473233382479</v>
      </c>
    </row>
    <row r="45" spans="1:5" x14ac:dyDescent="0.3">
      <c r="A45" s="18">
        <f t="shared" si="3"/>
        <v>5.4999999999999982</v>
      </c>
      <c r="B45" s="1" t="s">
        <v>134</v>
      </c>
      <c r="C45" s="27">
        <f>-'Financial Statements'!B102/'Financial Statements'!B22</f>
        <v>0.14870294480125848</v>
      </c>
      <c r="D45" s="27">
        <f>-'Financial Statements'!C102/'Financial Statements'!C22</f>
        <v>0.15279890156316012</v>
      </c>
      <c r="E45" s="27">
        <f>-'Financial Statements'!D102/'Financial Statements'!D22</f>
        <v>0.24526658654264863</v>
      </c>
    </row>
    <row r="46" spans="1:5" x14ac:dyDescent="0.3">
      <c r="A46" s="18"/>
      <c r="B46" s="3" t="s">
        <v>135</v>
      </c>
      <c r="C46" s="31">
        <f>-'Financial Statements'!B102/'Financial Statements'!B28*1000</f>
        <v>0.90905087211857483</v>
      </c>
      <c r="D46" s="31">
        <f>-'Financial Statements'!C102/'Financial Statements'!C28*1000</f>
        <v>0.85781615672153544</v>
      </c>
      <c r="E46" s="31">
        <f>-'Financial Statements'!D102/'Financial Statements'!D28*1000</f>
        <v>0.80333341434558025</v>
      </c>
    </row>
    <row r="47" spans="1:5" x14ac:dyDescent="0.3">
      <c r="A47" s="18">
        <f>+A45+0.1</f>
        <v>5.5999999999999979</v>
      </c>
      <c r="B47" s="1" t="s">
        <v>136</v>
      </c>
      <c r="C47" s="27">
        <f>C46/Instructions!B27</f>
        <v>5.8369774760406749E-3</v>
      </c>
      <c r="D47" s="27">
        <f>D46/Instructions!C27</f>
        <v>5.7264095909314774E-3</v>
      </c>
      <c r="E47" s="27">
        <f>E46/Instructions!D27</f>
        <v>7.3795095934740054E-3</v>
      </c>
    </row>
    <row r="48" spans="1:5" x14ac:dyDescent="0.3">
      <c r="A48" s="18">
        <f t="shared" ref="A48:A51" si="4">+A46+0.1</f>
        <v>0.1</v>
      </c>
      <c r="B48" s="1" t="s">
        <v>137</v>
      </c>
      <c r="C48" s="31">
        <f>'Financial Statements'!B22/'Financial Statements'!B68</f>
        <v>1.9695887275023682</v>
      </c>
      <c r="D48" s="31">
        <f>'Financial Statements'!C22/'Financial Statements'!C68</f>
        <v>1.5007132667617689</v>
      </c>
      <c r="E48" s="31">
        <f>'Financial Statements'!D22/'Financial Statements'!D68</f>
        <v>0.87866358530127486</v>
      </c>
    </row>
    <row r="49" spans="1:5" x14ac:dyDescent="0.3">
      <c r="A49" s="18">
        <f t="shared" si="4"/>
        <v>5.6999999999999975</v>
      </c>
      <c r="B49" s="1" t="s">
        <v>138</v>
      </c>
      <c r="C49" s="31">
        <f>C21/('Financial Statements'!B48-'Financial Statements'!B62)</f>
        <v>2.3570610988317018</v>
      </c>
      <c r="D49" s="31">
        <f>D21/('Financial Statements'!C48-'Financial Statements'!C62)</f>
        <v>1.7268822317324457</v>
      </c>
      <c r="E49" s="31">
        <f>E21/('Financial Statements'!D48-'Financial Statements'!D62)</f>
        <v>1.0145242504476653</v>
      </c>
    </row>
    <row r="50" spans="1:5" x14ac:dyDescent="0.3">
      <c r="A50" s="18">
        <f t="shared" si="4"/>
        <v>0.2</v>
      </c>
      <c r="B50" s="1" t="s">
        <v>128</v>
      </c>
      <c r="C50" s="31">
        <f>'Financial Statements'!B22/'Financial Statements'!B48</f>
        <v>0.28292440929256851</v>
      </c>
      <c r="D50" s="31">
        <f>'Financial Statements'!C22/'Financial Statements'!C48</f>
        <v>0.26974205275183616</v>
      </c>
      <c r="E50" s="31">
        <f>'Financial Statements'!D22/'Financial Statements'!D48</f>
        <v>0.1772557180259843</v>
      </c>
    </row>
    <row r="51" spans="1:5" x14ac:dyDescent="0.3">
      <c r="A51" s="18">
        <f t="shared" si="4"/>
        <v>5.7999999999999972</v>
      </c>
      <c r="B51" s="1" t="s">
        <v>139</v>
      </c>
      <c r="C51" s="32">
        <f>C52/C19</f>
        <v>19.089106495736971</v>
      </c>
      <c r="D51" s="32">
        <f t="shared" ref="D51:E51" si="5">D52/D19</f>
        <v>20.487510635183355</v>
      </c>
      <c r="E51" s="32">
        <f t="shared" si="5"/>
        <v>23.82579613208523</v>
      </c>
    </row>
    <row r="52" spans="1:5" x14ac:dyDescent="0.3">
      <c r="A52" s="18"/>
      <c r="B52" s="3" t="s">
        <v>140</v>
      </c>
      <c r="C52" s="12">
        <f>(Instructions!B27*'Financial Statements'!B28)/1000+'Financial Statements'!B62-'Financial Statements'!B48</f>
        <v>2491911.05106</v>
      </c>
      <c r="D52" s="12">
        <f>(Instructions!C27*'Financial Statements'!C28)/1000+'Financial Statements'!C62-'Financial Statements'!C48</f>
        <v>2463274.8662000005</v>
      </c>
      <c r="E52" s="12">
        <f>(Instructions!D27*'Financial Statements'!D28)/1000+'Financial Statements'!D62-'Financial Statements'!D48</f>
        <v>1842782.37604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Instructions</vt:lpstr>
      <vt:lpstr>Growth Rates</vt:lpstr>
      <vt:lpstr>Margins</vt:lpstr>
      <vt:lpstr>Additional Items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ocduser</cp:lastModifiedBy>
  <dcterms:created xsi:type="dcterms:W3CDTF">2020-05-18T16:32:37Z</dcterms:created>
  <dcterms:modified xsi:type="dcterms:W3CDTF">2024-08-12T19:43:47Z</dcterms:modified>
</cp:coreProperties>
</file>