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ta/Desktop/"/>
    </mc:Choice>
  </mc:AlternateContent>
  <xr:revisionPtr revIDLastSave="0" documentId="13_ncr:1_{5FD87C41-D83A-3D44-AB6C-022DA42E8B39}" xr6:coauthVersionLast="47" xr6:coauthVersionMax="47" xr10:uidLastSave="{00000000-0000-0000-0000-000000000000}"/>
  <bookViews>
    <workbookView xWindow="14660" yWindow="-24000" windowWidth="31120" windowHeight="208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5" i="3" l="1"/>
  <c r="C127" i="3"/>
  <c r="D127" i="3"/>
  <c r="E127" i="3"/>
  <c r="C126" i="3"/>
  <c r="D126" i="3"/>
  <c r="E126" i="3"/>
  <c r="E125" i="3"/>
  <c r="C125" i="3"/>
  <c r="C119" i="3"/>
  <c r="D119" i="3"/>
  <c r="E119" i="3"/>
  <c r="D117" i="3"/>
  <c r="E117" i="3"/>
  <c r="C117" i="3"/>
  <c r="F121" i="3"/>
  <c r="E114" i="3"/>
  <c r="E115" i="3" s="1"/>
  <c r="D114" i="3"/>
  <c r="C114" i="3"/>
  <c r="E106" i="3"/>
  <c r="D106" i="3"/>
  <c r="C106" i="3"/>
  <c r="E101" i="3"/>
  <c r="E104" i="3" s="1"/>
  <c r="D101" i="3"/>
  <c r="D104" i="3" s="1"/>
  <c r="C101" i="3"/>
  <c r="C104" i="3" s="1"/>
  <c r="D78" i="3"/>
  <c r="E78" i="3"/>
  <c r="C78" i="3"/>
  <c r="D76" i="3"/>
  <c r="E76" i="3"/>
  <c r="C76" i="3"/>
  <c r="F87" i="3"/>
  <c r="E79" i="3"/>
  <c r="E80" i="3" s="1"/>
  <c r="D79" i="3"/>
  <c r="C79" i="3"/>
  <c r="E72" i="3"/>
  <c r="D72" i="3"/>
  <c r="C72" i="3"/>
  <c r="D68" i="3"/>
  <c r="E68" i="3"/>
  <c r="C68" i="3"/>
  <c r="D66" i="3"/>
  <c r="E66" i="3"/>
  <c r="C66" i="3"/>
  <c r="E69" i="3"/>
  <c r="E70" i="3" s="1"/>
  <c r="D69" i="3"/>
  <c r="C69" i="3"/>
  <c r="C44" i="3"/>
  <c r="C54" i="3"/>
  <c r="C41" i="3"/>
  <c r="D41" i="3"/>
  <c r="E41" i="3"/>
  <c r="D44" i="3"/>
  <c r="E44" i="3"/>
  <c r="D47" i="3"/>
  <c r="E47" i="3"/>
  <c r="D49" i="3"/>
  <c r="E49" i="3"/>
  <c r="D53" i="3"/>
  <c r="D43" i="3" s="1"/>
  <c r="E53" i="3"/>
  <c r="E51" i="3" s="1"/>
  <c r="F53" i="3"/>
  <c r="C53" i="3"/>
  <c r="C43" i="3" s="1"/>
  <c r="C49" i="3"/>
  <c r="C47" i="3"/>
  <c r="D34" i="3"/>
  <c r="E34" i="3"/>
  <c r="D35" i="3"/>
  <c r="E35" i="3"/>
  <c r="D36" i="3"/>
  <c r="E36" i="3"/>
  <c r="D37" i="3"/>
  <c r="E7" i="3" s="1"/>
  <c r="E37" i="3"/>
  <c r="D19" i="3"/>
  <c r="D25" i="3"/>
  <c r="E25" i="3"/>
  <c r="D26" i="3"/>
  <c r="E26" i="3"/>
  <c r="D27" i="3"/>
  <c r="E27" i="3"/>
  <c r="D28" i="3"/>
  <c r="E28" i="3"/>
  <c r="D31" i="3"/>
  <c r="D30" i="3" s="1"/>
  <c r="E31" i="3"/>
  <c r="E30" i="3" s="1"/>
  <c r="D17" i="3"/>
  <c r="E17" i="3"/>
  <c r="E19" i="3"/>
  <c r="E18" i="3" s="1"/>
  <c r="D21" i="3"/>
  <c r="D48" i="3" s="1"/>
  <c r="E21" i="3"/>
  <c r="E48" i="3" s="1"/>
  <c r="D22" i="3"/>
  <c r="E22" i="3"/>
  <c r="D5" i="3"/>
  <c r="E5" i="3"/>
  <c r="D6" i="3"/>
  <c r="E6" i="3"/>
  <c r="D8" i="3"/>
  <c r="E8" i="3"/>
  <c r="D9" i="3"/>
  <c r="E9" i="3"/>
  <c r="D10" i="3"/>
  <c r="E10" i="3"/>
  <c r="D11" i="3"/>
  <c r="E11" i="3"/>
  <c r="D14" i="3"/>
  <c r="D13" i="3" s="1"/>
  <c r="E14" i="3"/>
  <c r="E13" i="3" s="1"/>
  <c r="E22" i="1"/>
  <c r="E42" i="1"/>
  <c r="E48" i="1"/>
  <c r="E56" i="1"/>
  <c r="E62" i="1" s="1"/>
  <c r="E69" i="1" s="1"/>
  <c r="E91" i="1"/>
  <c r="C37" i="3"/>
  <c r="D7" i="3" s="1"/>
  <c r="C36" i="3"/>
  <c r="C35" i="3"/>
  <c r="C34" i="3"/>
  <c r="C9" i="3"/>
  <c r="C28" i="3"/>
  <c r="C27" i="3"/>
  <c r="C26" i="3"/>
  <c r="C25" i="3"/>
  <c r="C21" i="3"/>
  <c r="C20" i="3" s="1"/>
  <c r="C11" i="3"/>
  <c r="C10" i="3"/>
  <c r="C8" i="3"/>
  <c r="C22" i="3"/>
  <c r="C19" i="3"/>
  <c r="C18" i="3" s="1"/>
  <c r="C17" i="3"/>
  <c r="C14" i="3"/>
  <c r="C13" i="3" s="1"/>
  <c r="C7" i="3"/>
  <c r="C6" i="3"/>
  <c r="C5" i="3"/>
  <c r="D108" i="1"/>
  <c r="C108" i="1"/>
  <c r="B108" i="1"/>
  <c r="D99" i="1"/>
  <c r="C99" i="1"/>
  <c r="B99" i="1"/>
  <c r="D111" i="3" l="1"/>
  <c r="E111" i="3"/>
  <c r="C113" i="3"/>
  <c r="C115" i="3"/>
  <c r="D115" i="3"/>
  <c r="E113" i="3"/>
  <c r="C111" i="3"/>
  <c r="D113" i="3"/>
  <c r="E107" i="3"/>
  <c r="E116" i="3" s="1"/>
  <c r="E121" i="3" s="1"/>
  <c r="E122" i="3" s="1"/>
  <c r="C107" i="3"/>
  <c r="C116" i="3" s="1"/>
  <c r="C121" i="3" s="1"/>
  <c r="C122" i="3" s="1"/>
  <c r="D29" i="3" s="1"/>
  <c r="E108" i="3"/>
  <c r="D107" i="3"/>
  <c r="C80" i="3"/>
  <c r="E81" i="3"/>
  <c r="D80" i="3"/>
  <c r="C73" i="3"/>
  <c r="C81" i="3"/>
  <c r="E73" i="3"/>
  <c r="D81" i="3"/>
  <c r="D73" i="3"/>
  <c r="D70" i="3"/>
  <c r="C70" i="3"/>
  <c r="C40" i="3"/>
  <c r="E40" i="3"/>
  <c r="E12" i="3"/>
  <c r="E50" i="3"/>
  <c r="D40" i="3"/>
  <c r="C45" i="3"/>
  <c r="C46" i="3" s="1"/>
  <c r="C12" i="3"/>
  <c r="E20" i="3"/>
  <c r="D20" i="3"/>
  <c r="C42" i="3"/>
  <c r="D45" i="3"/>
  <c r="D46" i="3" s="1"/>
  <c r="D18" i="3"/>
  <c r="D42" i="3"/>
  <c r="D12" i="3"/>
  <c r="D51" i="3"/>
  <c r="D50" i="3" s="1"/>
  <c r="C51" i="3"/>
  <c r="C50" i="3" s="1"/>
  <c r="E43" i="3"/>
  <c r="E42" i="3" s="1"/>
  <c r="E45" i="3"/>
  <c r="E46" i="3" s="1"/>
  <c r="C48" i="3"/>
  <c r="C29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C8" i="1"/>
  <c r="B8" i="1"/>
  <c r="E3" i="3"/>
  <c r="D3" i="3"/>
  <c r="C3" i="3"/>
  <c r="D33" i="1"/>
  <c r="D73" i="1" s="1"/>
  <c r="C33" i="1"/>
  <c r="C73" i="1" s="1"/>
  <c r="B33" i="1"/>
  <c r="B73" i="1" s="1"/>
  <c r="C108" i="3" l="1"/>
  <c r="D116" i="3"/>
  <c r="D121" i="3" s="1"/>
  <c r="D122" i="3" s="1"/>
  <c r="E29" i="3" s="1"/>
  <c r="D108" i="3"/>
  <c r="D84" i="3"/>
  <c r="D82" i="3"/>
  <c r="C84" i="3"/>
  <c r="C82" i="3"/>
  <c r="E84" i="3"/>
  <c r="E82" i="3"/>
  <c r="D109" i="1"/>
  <c r="C62" i="1"/>
  <c r="B13" i="1"/>
  <c r="C13" i="1"/>
  <c r="C18" i="1" s="1"/>
  <c r="C20" i="1" s="1"/>
  <c r="C22" i="1" s="1"/>
  <c r="C76" i="1" s="1"/>
  <c r="C91" i="1" s="1"/>
  <c r="B62" i="1"/>
  <c r="B69" i="1" s="1"/>
  <c r="B18" i="1"/>
  <c r="B20" i="1" s="1"/>
  <c r="B22" i="1" s="1"/>
  <c r="B76" i="1" s="1"/>
  <c r="B91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87" i="3" l="1"/>
  <c r="C85" i="3"/>
  <c r="E87" i="3"/>
  <c r="E88" i="3" s="1"/>
  <c r="E85" i="3"/>
  <c r="D87" i="3"/>
  <c r="D88" i="3" s="1"/>
  <c r="D85" i="3"/>
  <c r="C109" i="1"/>
  <c r="B109" i="1"/>
  <c r="C31" i="3"/>
  <c r="C30" i="3" s="1"/>
  <c r="A24" i="3"/>
  <c r="A25" i="3" s="1"/>
  <c r="A26" i="3" s="1"/>
  <c r="A27" i="3" s="1"/>
  <c r="A28" i="3" s="1"/>
  <c r="A29" i="3" s="1"/>
  <c r="A30" i="3" s="1"/>
  <c r="C88" i="3" l="1"/>
  <c r="A33" i="3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<sst xmlns="http://schemas.openxmlformats.org/spreadsheetml/2006/main" count="243" uniqueCount="160">
  <si>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</si>
  <si>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</si>
  <si>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</si>
  <si>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</si>
  <si>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</si>
  <si>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</si>
  <si>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</si>
  <si>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</si>
  <si>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</si>
  <si>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</si>
  <si>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</si>
  <si>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</si>
  <si>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</si>
  <si>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</si>
  <si>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</si>
  <si>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</si>
  <si>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</si>
  <si>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</si>
  <si>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</si>
  <si>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</si>
  <si>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</si>
  <si>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</si>
  <si>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</si>
  <si>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</si>
  <si>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</si>
  <si>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</si>
  <si>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</si>
  <si>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</si>
  <si>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</si>
  <si>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</si>
  <si>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</si>
  <si>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</si>
  <si>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</si>
  <si>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</si>
  <si>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</si>
  <si>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</si>
  <si>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</si>
  <si>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</si>
  <si>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</si>
  <si>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</si>
  <si>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</si>
  <si>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</si>
  <si>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</si>
  <si>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</si>
  <si>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</si>
  <si>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</si>
  <si>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</si>
  <si>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</si>
  <si>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</si>
  <si>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</si>
  <si>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</si>
  <si>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</si>
  <si>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</si>
  <si>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</si>
  <si>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</si>
  <si>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</si>
  <si>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</si>
  <si>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</si>
  <si>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</si>
  <si>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</si>
  <si>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</si>
  <si>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</si>
  <si>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</si>
  <si>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</si>
  <si>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</si>
  <si>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</si>
  <si>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</si>
  <si>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</si>
  <si>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</si>
  <si>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</si>
  <si>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</si>
  <si>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</si>
  <si>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</si>
  <si>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</si>
  <si>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</si>
  <si>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</si>
  <si>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</si>
  <si>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</si>
  <si>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</si>
  <si>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</si>
  <si>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</si>
  <si>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</si>
  <si>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</si>
  <si>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</si>
  <si>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</si>
  <si>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</si>
  <si>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</si>
  <si>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</si>
  <si>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</si>
  <si>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</si>
  <si>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</si>
  <si>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</si>
  <si>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</si>
  <si>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</si>
  <si>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</si>
  <si>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</si>
  <si>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</si>
  <si>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</si>
  <si>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</si>
  <si>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</si>
  <si>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</si>
  <si>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</si>
  <si>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</si>
  <si>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</si>
  <si>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</si>
  <si>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</si>
  <si>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</si>
  <si>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</si>
  <si>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</si>
  <si>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</si>
  <si>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</si>
  <si>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</si>
  <si>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</si>
  <si>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</si>
  <si>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</si>
  <si>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</si>
  <si>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</si>
  <si>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</si>
  <si>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</si>
  <si>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</si>
  <si>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</si>
  <si>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</si>
  <si>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</si>
  <si>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</si>
  <si>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</si>
  <si>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</si>
  <si>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</si>
  <si>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</si>
  <si>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</si>
  <si>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</si>
  <si>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</si>
  <si>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</si>
  <si>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</si>
  <si>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</si>
  <si>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</si>
  <si>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</si>
  <si>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</si>
  <si>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</si>
  <si>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</si>
  <si>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</si>
  <si>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</si>
  <si>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</si>
  <si>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</si>
  <si>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</si>
  <si>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</si>
  <si>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</si>
  <si>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</si>
  <si>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</si>
  <si>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</si>
  <si>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</si>
  <si>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</t>
  </si>
  <si>
    <t>tax rate</t>
  </si>
  <si>
    <t>https://s2.q4cdn.com/470004039/files/doc_financials/2022/q4/_10-K-2022-(As-Filed).pdf</t>
  </si>
  <si>
    <t>https://s2.q4cdn.com/470004039/files/doc_financials/2019/ar/_10-K-2019-(As-Filed).pdf</t>
  </si>
  <si>
    <t>shares outstanding (million $)</t>
  </si>
  <si>
    <t>g</t>
  </si>
  <si>
    <t>growth rate (g)</t>
  </si>
  <si>
    <t xml:space="preserve">g  </t>
  </si>
  <si>
    <t>% OF NET SALES</t>
  </si>
  <si>
    <t>stock price as of 8:00 PM EDT 08/12/24 Nasdaq Last Sale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</si>
</sst>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_);\(0.00\)"/>
    <numFmt numFmtId="167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9" tint="-0.249977111117893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1" applyFont="1"/>
    <xf numFmtId="0" fontId="8" fillId="0" borderId="0" xfId="0" applyFont="1" applyAlignment="1">
      <alignment horizontal="right" indent="1"/>
    </xf>
    <xf numFmtId="10" fontId="8" fillId="0" borderId="0" xfId="1" applyNumberFormat="1" applyFont="1"/>
    <xf numFmtId="43" fontId="6" fillId="0" borderId="0" xfId="2" applyNumberFormat="1"/>
    <xf numFmtId="0" fontId="6" fillId="0" borderId="0" xfId="2"/>
    <xf numFmtId="43" fontId="8" fillId="0" borderId="0" xfId="1" applyFont="1"/>
    <xf numFmtId="167" fontId="0" fillId="0" borderId="0" xfId="1" applyNumberFormat="1" applyFont="1"/>
    <xf numFmtId="0" fontId="8" fillId="0" borderId="0" xfId="0" applyFont="1" applyAlignment="1">
      <alignment horizontal="right"/>
    </xf>
    <xf numFmtId="0" fontId="2" fillId="5" borderId="0" xfId="0" applyFont="1" applyFill="1"/>
    <xf numFmtId="0" fontId="0" fillId="5" borderId="0" xfId="0" applyFill="1"/>
    <xf numFmtId="3" fontId="0" fillId="5" borderId="0" xfId="0" applyNumberFormat="1" applyFill="1"/>
    <xf numFmtId="3" fontId="2" fillId="5" borderId="0" xfId="0" applyNumberFormat="1" applyFont="1" applyFill="1"/>
    <xf numFmtId="164" fontId="2" fillId="5" borderId="2" xfId="1" applyNumberFormat="1" applyFont="1" applyFill="1" applyBorder="1"/>
    <xf numFmtId="43" fontId="0" fillId="5" borderId="0" xfId="1" applyFont="1" applyFill="1"/>
    <xf numFmtId="164" fontId="2" fillId="5" borderId="1" xfId="1" applyNumberFormat="1" applyFont="1" applyFill="1" applyBorder="1"/>
    <xf numFmtId="166" fontId="0" fillId="5" borderId="0" xfId="0" applyNumberFormat="1" applyFill="1"/>
    <xf numFmtId="164" fontId="0" fillId="5" borderId="0" xfId="1" applyNumberFormat="1" applyFont="1" applyFill="1"/>
    <xf numFmtId="37" fontId="0" fillId="5" borderId="0" xfId="0" applyNumberFormat="1" applyFill="1"/>
    <xf numFmtId="43" fontId="2" fillId="0" borderId="0" xfId="1" applyFont="1" applyBorder="1"/>
    <xf numFmtId="0" fontId="0" fillId="6" borderId="0" xfId="0" applyFill="1"/>
    <xf numFmtId="0" fontId="9" fillId="0" borderId="0" xfId="0" applyFont="1" applyAlignment="1">
      <alignment horizontal="right" indent="1"/>
    </xf>
    <xf numFmtId="43" fontId="10" fillId="0" borderId="0" xfId="1" applyFont="1"/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right"/>
    </xf>
    <xf numFmtId="43" fontId="10" fillId="0" borderId="1" xfId="1" applyFont="1" applyBorder="1"/>
    <xf numFmtId="43" fontId="10" fillId="0" borderId="0" xfId="1" applyFont="1" applyBorder="1"/>
    <xf numFmtId="0" fontId="11" fillId="0" borderId="0" xfId="0" applyFont="1" applyAlignment="1">
      <alignment horizontal="right"/>
    </xf>
    <xf numFmtId="0" fontId="10" fillId="6" borderId="0" xfId="0" applyFont="1" applyFill="1"/>
    <xf numFmtId="9" fontId="9" fillId="0" borderId="0" xfId="3" applyFont="1"/>
    <xf numFmtId="9" fontId="9" fillId="5" borderId="0" xfId="3" applyFont="1" applyFill="1" applyBorder="1"/>
    <xf numFmtId="0" fontId="0" fillId="0" borderId="0" xfId="0" applyAlignment="1">
      <alignment horizontal="right"/>
    </xf>
    <xf numFmtId="43" fontId="9" fillId="0" borderId="0" xfId="1" applyFont="1"/>
    <xf numFmtId="43" fontId="9" fillId="0" borderId="0" xfId="1" applyFont="1" applyBorder="1"/>
    <xf numFmtId="43" fontId="9" fillId="0" borderId="1" xfId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2.q4cdn.com/470004039/files/doc_financials/2019/ar/_10-K-2019-(As-Filed)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s2.q4cdn.com/470004039/files/doc_financials/2022/q4/_10-K-2022-(As-Filed).pdf" TargetMode="External"/><Relationship Id="rId1" Type="http://schemas.openxmlformats.org/officeDocument/2006/relationships/hyperlink" Target="https://s2.q4cdn.com/470004039/files/doc_financials/2022/q4/_10-K-2022-(As-Filed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zoomScale="160" workbookViewId="0">
      <selection activeCell="C19" sqref="C19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3" x14ac:dyDescent="0.2">
      <c r="A17" s="1" t="s">
        <v>90</v>
      </c>
    </row>
    <row r="18" spans="1:3" x14ac:dyDescent="0.2">
      <c r="A18" s="1" t="s">
        <v>14</v>
      </c>
    </row>
    <row r="19" spans="1:3" x14ac:dyDescent="0.2">
      <c r="A19" s="1" t="s">
        <v>93</v>
      </c>
    </row>
    <row r="20" spans="1:3" x14ac:dyDescent="0.2">
      <c r="A20" s="1"/>
    </row>
    <row r="21" spans="1:3" x14ac:dyDescent="0.2">
      <c r="A21" s="17" t="s">
        <v>98</v>
      </c>
    </row>
    <row r="22" spans="1:3" x14ac:dyDescent="0.2">
      <c r="A22" s="1" t="s">
        <v>94</v>
      </c>
    </row>
    <row r="23" spans="1:3" x14ac:dyDescent="0.2">
      <c r="A23" s="1" t="s">
        <v>95</v>
      </c>
      <c r="C23" s="57"/>
    </row>
    <row r="24" spans="1:3" x14ac:dyDescent="0.2">
      <c r="A24" s="1" t="s">
        <v>96</v>
      </c>
      <c r="C24" s="57"/>
    </row>
    <row r="25" spans="1:3" x14ac:dyDescent="0.2">
      <c r="A25" s="1"/>
      <c r="C25" s="57"/>
    </row>
    <row r="26" spans="1:3" x14ac:dyDescent="0.2">
      <c r="A26" s="17" t="s">
        <v>144</v>
      </c>
      <c r="C26" s="57"/>
    </row>
    <row r="27" spans="1:3" x14ac:dyDescent="0.2">
      <c r="A27" s="16" t="s">
        <v>143</v>
      </c>
    </row>
    <row r="29" spans="1:3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zoomScale="150" workbookViewId="0">
      <selection activeCell="A122" sqref="A122:A123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10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59" t="s">
        <v>1</v>
      </c>
      <c r="B2" s="59"/>
      <c r="C2" s="59"/>
      <c r="D2" s="59"/>
    </row>
    <row r="3" spans="1:10" x14ac:dyDescent="0.2">
      <c r="B3" s="58" t="s">
        <v>23</v>
      </c>
      <c r="C3" s="58"/>
      <c r="D3" s="58"/>
    </row>
    <row r="4" spans="1:10" x14ac:dyDescent="0.2">
      <c r="B4" s="7">
        <v>2022</v>
      </c>
      <c r="C4" s="7">
        <v>2021</v>
      </c>
      <c r="D4" s="7">
        <v>2020</v>
      </c>
      <c r="E4" s="31">
        <v>2019</v>
      </c>
      <c r="F4" s="27" t="s">
        <v>153</v>
      </c>
    </row>
    <row r="5" spans="1:10" x14ac:dyDescent="0.2">
      <c r="A5" t="s">
        <v>3</v>
      </c>
      <c r="E5" s="32"/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33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33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33">
        <v>260174</v>
      </c>
    </row>
    <row r="9" spans="1:10" x14ac:dyDescent="0.2">
      <c r="A9" t="s">
        <v>7</v>
      </c>
      <c r="B9" s="12"/>
      <c r="C9" s="12"/>
      <c r="D9" s="12"/>
      <c r="E9" s="3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33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33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33"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 s="33">
        <v>98392</v>
      </c>
    </row>
    <row r="14" spans="1:10" x14ac:dyDescent="0.2">
      <c r="A14" t="s">
        <v>10</v>
      </c>
      <c r="B14" s="12"/>
      <c r="C14" s="12"/>
      <c r="D14" s="12"/>
      <c r="E14" s="3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33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33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 s="33"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E18" s="34"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33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E20" s="33"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33">
        <v>10481</v>
      </c>
    </row>
    <row r="22" spans="1:5" ht="16" thickBot="1" x14ac:dyDescent="0.25">
      <c r="A22" s="9" t="s">
        <v>18</v>
      </c>
      <c r="B22" s="14">
        <f>+B20-B21</f>
        <v>99803</v>
      </c>
      <c r="C22" s="14">
        <f t="shared" ref="C22:E22" si="7">+C20-C21</f>
        <v>94680</v>
      </c>
      <c r="D22" s="14">
        <f t="shared" si="7"/>
        <v>57411</v>
      </c>
      <c r="E22" s="35">
        <f t="shared" si="7"/>
        <v>55256</v>
      </c>
    </row>
    <row r="23" spans="1:5" ht="16" thickTop="1" x14ac:dyDescent="0.2">
      <c r="A23" t="s">
        <v>19</v>
      </c>
      <c r="E23" s="32"/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36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36">
        <v>11.89</v>
      </c>
    </row>
    <row r="26" spans="1:5" x14ac:dyDescent="0.2">
      <c r="A26" t="s">
        <v>22</v>
      </c>
      <c r="E26" s="32"/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33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33">
        <v>4648913</v>
      </c>
    </row>
    <row r="29" spans="1:5" x14ac:dyDescent="0.2">
      <c r="E29" s="32"/>
    </row>
    <row r="30" spans="1:5" x14ac:dyDescent="0.2">
      <c r="E30" s="32"/>
    </row>
    <row r="31" spans="1:5" x14ac:dyDescent="0.2">
      <c r="A31" s="59" t="s">
        <v>24</v>
      </c>
      <c r="B31" s="59"/>
      <c r="C31" s="59"/>
      <c r="D31" s="59"/>
      <c r="E31" s="32"/>
    </row>
    <row r="32" spans="1:5" x14ac:dyDescent="0.2">
      <c r="B32" s="58" t="s">
        <v>142</v>
      </c>
      <c r="C32" s="58"/>
      <c r="D32" s="58"/>
      <c r="E32" s="32"/>
    </row>
    <row r="33" spans="1:5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 s="31">
        <v>2019</v>
      </c>
    </row>
    <row r="34" spans="1:5" x14ac:dyDescent="0.2">
      <c r="E34" s="32"/>
    </row>
    <row r="35" spans="1:5" x14ac:dyDescent="0.2">
      <c r="A35" t="s">
        <v>25</v>
      </c>
      <c r="E35" s="32"/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33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33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33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33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33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33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9">+SUM(C36:C41)</f>
        <v>134836</v>
      </c>
      <c r="D42" s="13">
        <f t="shared" si="9"/>
        <v>143713</v>
      </c>
      <c r="E42" s="37">
        <f t="shared" si="9"/>
        <v>162819</v>
      </c>
    </row>
    <row r="43" spans="1:5" x14ac:dyDescent="0.2">
      <c r="A43" t="s">
        <v>48</v>
      </c>
      <c r="B43" s="12"/>
      <c r="C43" s="12"/>
      <c r="D43" s="12"/>
      <c r="E43" s="3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33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33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33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E47" s="33">
        <v>175697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E48" si="11">+C42+C47</f>
        <v>351002</v>
      </c>
      <c r="D48" s="14">
        <f t="shared" si="11"/>
        <v>323888</v>
      </c>
      <c r="E48" s="35">
        <f t="shared" si="11"/>
        <v>338516</v>
      </c>
    </row>
    <row r="49" spans="1:5" ht="16" thickTop="1" x14ac:dyDescent="0.2">
      <c r="E49" s="32"/>
    </row>
    <row r="50" spans="1:5" x14ac:dyDescent="0.2">
      <c r="A50" t="s">
        <v>34</v>
      </c>
      <c r="E50" s="32"/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  <c r="E51" s="33">
        <v>46236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  <c r="E52" s="33">
        <v>37720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  <c r="E53" s="33">
        <v>5522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  <c r="E54" s="33">
        <v>5980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  <c r="E55" s="33">
        <v>10260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E56" si="12">+SUM(C51:C55)</f>
        <v>125481</v>
      </c>
      <c r="D56" s="13">
        <f t="shared" si="12"/>
        <v>105392</v>
      </c>
      <c r="E56" s="37">
        <f t="shared" si="12"/>
        <v>105718</v>
      </c>
    </row>
    <row r="57" spans="1:5" x14ac:dyDescent="0.2">
      <c r="A57" t="s">
        <v>51</v>
      </c>
      <c r="B57" s="12"/>
      <c r="C57" s="12"/>
      <c r="D57" s="12"/>
      <c r="E57" s="32"/>
    </row>
    <row r="58" spans="1:5" x14ac:dyDescent="0.2">
      <c r="A58" s="1" t="s">
        <v>37</v>
      </c>
      <c r="B58" s="12"/>
      <c r="C58" s="12"/>
      <c r="D58" s="12"/>
      <c r="E58" s="3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  <c r="E59" s="33">
        <v>91807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  <c r="E60" s="33">
        <v>50503</v>
      </c>
    </row>
    <row r="61" spans="1:5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E61" s="33"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E62" si="14">+C56+C61</f>
        <v>287912</v>
      </c>
      <c r="D62" s="13">
        <f t="shared" si="14"/>
        <v>258549</v>
      </c>
      <c r="E62" s="37">
        <f t="shared" si="14"/>
        <v>248028</v>
      </c>
    </row>
    <row r="63" spans="1:5" x14ac:dyDescent="0.2">
      <c r="B63" s="12"/>
      <c r="C63" s="12"/>
      <c r="D63" s="12"/>
      <c r="E63" s="32"/>
    </row>
    <row r="64" spans="1:5" x14ac:dyDescent="0.2">
      <c r="A64" t="s">
        <v>42</v>
      </c>
      <c r="B64" s="12"/>
      <c r="C64" s="12"/>
      <c r="D64" s="12"/>
      <c r="E64" s="3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  <c r="E65" s="33">
        <v>45174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  <c r="E66" s="33">
        <v>45898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  <c r="E67" s="38">
        <v>-584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E68" s="33">
        <v>90488</v>
      </c>
    </row>
    <row r="69" spans="1:5" ht="16" thickBot="1" x14ac:dyDescent="0.25">
      <c r="A69" s="9" t="s">
        <v>46</v>
      </c>
      <c r="B69" s="14">
        <f>+B68+B62</f>
        <v>352755</v>
      </c>
      <c r="C69" s="14">
        <f t="shared" ref="C69:E69" si="16">+C68+C62</f>
        <v>351002</v>
      </c>
      <c r="D69" s="14">
        <f t="shared" si="16"/>
        <v>323888</v>
      </c>
      <c r="E69" s="35">
        <f t="shared" si="16"/>
        <v>338516</v>
      </c>
    </row>
    <row r="70" spans="1:5" ht="16" thickTop="1" x14ac:dyDescent="0.2">
      <c r="E70" s="32"/>
    </row>
    <row r="71" spans="1:5" x14ac:dyDescent="0.2">
      <c r="A71" s="59" t="s">
        <v>55</v>
      </c>
      <c r="B71" s="59"/>
      <c r="C71" s="59"/>
      <c r="D71" s="59"/>
      <c r="E71" s="32"/>
    </row>
    <row r="72" spans="1:5" x14ac:dyDescent="0.2">
      <c r="B72" s="58" t="s">
        <v>23</v>
      </c>
      <c r="C72" s="58"/>
      <c r="D72" s="58"/>
      <c r="E72" s="32"/>
    </row>
    <row r="73" spans="1:5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E73" s="31">
        <v>2019</v>
      </c>
    </row>
    <row r="74" spans="1:5" x14ac:dyDescent="0.2">
      <c r="E74" s="32"/>
    </row>
    <row r="75" spans="1:5" x14ac:dyDescent="0.2">
      <c r="A75" s="7" t="s">
        <v>56</v>
      </c>
      <c r="B75" s="15"/>
      <c r="C75" s="15"/>
      <c r="D75" s="15"/>
      <c r="E75" s="32"/>
    </row>
    <row r="76" spans="1:5" x14ac:dyDescent="0.2">
      <c r="A76" t="s">
        <v>57</v>
      </c>
      <c r="B76" s="12">
        <f>+B22</f>
        <v>99803</v>
      </c>
      <c r="C76" s="12">
        <f>+C22</f>
        <v>94680</v>
      </c>
      <c r="D76" s="12">
        <f t="shared" ref="D76" si="18">+D22</f>
        <v>57411</v>
      </c>
      <c r="E76" s="33">
        <v>55256</v>
      </c>
    </row>
    <row r="77" spans="1:5" x14ac:dyDescent="0.2">
      <c r="A77" s="11" t="s">
        <v>18</v>
      </c>
      <c r="D77" s="15"/>
      <c r="E77" s="32"/>
    </row>
    <row r="78" spans="1:5" x14ac:dyDescent="0.2">
      <c r="A78" s="1" t="s">
        <v>58</v>
      </c>
      <c r="B78" s="12"/>
      <c r="C78" s="12"/>
      <c r="D78" s="12"/>
      <c r="E78" s="3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  <c r="E79" s="33">
        <v>12547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  <c r="E80" s="33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38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38">
        <v>-652</v>
      </c>
    </row>
    <row r="83" spans="1:5" x14ac:dyDescent="0.2">
      <c r="A83" t="s">
        <v>62</v>
      </c>
      <c r="B83" s="12"/>
      <c r="C83" s="12"/>
      <c r="D83" s="12"/>
      <c r="E83" s="3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39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39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33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39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39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39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39">
        <v>-4700</v>
      </c>
    </row>
    <row r="91" spans="1:5" x14ac:dyDescent="0.2">
      <c r="A91" s="8" t="s">
        <v>63</v>
      </c>
      <c r="B91" s="13">
        <f>+SUM(B76:B90)</f>
        <v>122151</v>
      </c>
      <c r="C91" s="13">
        <f>+SUM(C76:C90)</f>
        <v>104038</v>
      </c>
      <c r="D91" s="13">
        <f t="shared" ref="D91:E91" si="19">+SUM(D76:D90)</f>
        <v>80674</v>
      </c>
      <c r="E91" s="37">
        <f t="shared" si="19"/>
        <v>69391</v>
      </c>
    </row>
    <row r="92" spans="1:5" x14ac:dyDescent="0.2">
      <c r="A92" s="7" t="s">
        <v>64</v>
      </c>
      <c r="B92" s="12"/>
      <c r="C92" s="12"/>
      <c r="D92" s="12"/>
      <c r="E92" s="3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39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39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39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39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40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39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E99" s="34">
        <v>45896</v>
      </c>
    </row>
    <row r="100" spans="1:5" x14ac:dyDescent="0.2">
      <c r="A100" s="7" t="s">
        <v>71</v>
      </c>
      <c r="B100" s="12"/>
      <c r="C100" s="12"/>
      <c r="D100" s="12"/>
      <c r="E100" s="3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39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33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39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39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39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39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39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  <c r="E108" s="40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  <c r="E109" s="33">
        <v>24311</v>
      </c>
    </row>
    <row r="110" spans="1:5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33">
        <v>50224</v>
      </c>
    </row>
    <row r="111" spans="1:5" ht="16" thickTop="1" x14ac:dyDescent="0.2">
      <c r="B111" s="12"/>
      <c r="C111" s="12"/>
      <c r="D111" s="12"/>
      <c r="E111" s="32"/>
    </row>
    <row r="112" spans="1:5" x14ac:dyDescent="0.2">
      <c r="A112" t="s">
        <v>80</v>
      </c>
      <c r="B112" s="12"/>
      <c r="C112" s="12"/>
      <c r="D112" s="12"/>
      <c r="E112" s="3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33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33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hyperlinks>
    <hyperlink ref="F4" r:id="rId1" xr:uid="{142C7DDF-972E-F749-91FD-1635F92542C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8"/>
  <sheetViews>
    <sheetView tabSelected="1" topLeftCell="A113" zoomScale="150" workbookViewId="0">
      <selection activeCell="G138" sqref="G13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7.83203125" customWidth="1"/>
    <col min="4" max="4" width="14.5" customWidth="1"/>
    <col min="5" max="5" width="15.5" customWidth="1"/>
    <col min="6" max="6" width="13.3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58" t="s">
        <v>23</v>
      </c>
      <c r="D2" s="58"/>
      <c r="E2" s="58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  <c r="C4" s="23"/>
      <c r="D4" s="23"/>
      <c r="E4" s="23"/>
      <c r="F4" s="23"/>
      <c r="G4" s="23"/>
    </row>
    <row r="5" spans="1:10" x14ac:dyDescent="0.2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23"/>
      <c r="G5" s="23"/>
    </row>
    <row r="6" spans="1:10" x14ac:dyDescent="0.2">
      <c r="A6" s="18">
        <f t="shared" ref="A6:A13" si="0">+A5+0.1</f>
        <v>1.2000000000000002</v>
      </c>
      <c r="B6" s="1" t="s">
        <v>101</v>
      </c>
      <c r="C6" s="23">
        <f>SUM('Financial Statements'!B36,'Financial Statements'!B37,'Financial Statements'!B38)/'Financial Statements'!B56</f>
        <v>0.49673338442155579</v>
      </c>
      <c r="D6" s="23">
        <f>SUM('Financial Statements'!C36,'Financial Statements'!C37,'Financial Statements'!C38)/'Financial Statements'!C56</f>
        <v>0.70860927152317876</v>
      </c>
      <c r="E6" s="23">
        <f>SUM('Financial Statements'!D36,'Financial Statements'!D37,'Financial Statements'!D38)/'Financial Statements'!D56</f>
        <v>1.0158550933657204</v>
      </c>
      <c r="F6" s="23"/>
      <c r="G6" s="23"/>
    </row>
    <row r="7" spans="1:10" x14ac:dyDescent="0.2">
      <c r="A7" s="18">
        <f t="shared" si="0"/>
        <v>1.3000000000000003</v>
      </c>
      <c r="B7" s="1" t="s">
        <v>102</v>
      </c>
      <c r="C7" s="23">
        <f>SUM('Financial Statements'!B36,B37)/'Financial Statements'!B56</f>
        <v>0.15356340351469652</v>
      </c>
      <c r="D7" s="23">
        <f>SUM('Financial Statements'!C36,C37)/'Financial Statements'!C56</f>
        <v>0.27845084476660942</v>
      </c>
      <c r="E7" s="23">
        <f>SUM('Financial Statements'!D36,D37)/'Financial Statements'!D56</f>
        <v>0.36071321810751122</v>
      </c>
      <c r="F7" s="23"/>
      <c r="G7" s="23"/>
    </row>
    <row r="8" spans="1:10" x14ac:dyDescent="0.2">
      <c r="A8" s="18">
        <f t="shared" si="0"/>
        <v>1.4000000000000004</v>
      </c>
      <c r="B8" s="1" t="s">
        <v>103</v>
      </c>
      <c r="C8" s="23">
        <f>SUM('Financial Statements'!B36,'Financial Statements'!B37,'Financial Statements'!B38)/(('Financial Statements'!B17-'Financial Statements'!B79)/365)</f>
        <v>693.77301756914596</v>
      </c>
      <c r="D8" s="23">
        <f>SUM('Financial Statements'!C36,'Financial Statements'!C37,'Financial Statements'!C38)/(('Financial Statements'!C17-'Financial Statements'!C79)/365)</f>
        <v>995.4514921939699</v>
      </c>
      <c r="E8" s="23">
        <f>SUM('Financial Statements'!D36,'Financial Statements'!D37,'Financial Statements'!D38)/(('Financial Statements'!D17-'Financial Statements'!D79)/365)</f>
        <v>1415.254056207446</v>
      </c>
      <c r="F8" s="23"/>
      <c r="G8" s="23"/>
    </row>
    <row r="9" spans="1:10" x14ac:dyDescent="0.2">
      <c r="A9" s="18">
        <f t="shared" si="0"/>
        <v>1.5000000000000004</v>
      </c>
      <c r="B9" s="1" t="s">
        <v>104</v>
      </c>
      <c r="C9" s="23">
        <f>365/('Financial Statements'!B10/AVERAGE('Financial Statements'!B39,'Financial Statements'!C39))</f>
        <v>10.440683770865284</v>
      </c>
      <c r="D9" s="23">
        <f>365/('Financial Statements'!C10/AVERAGE('Financial Statements'!C39,'Financial Statements'!D39))</f>
        <v>10.100498788137267</v>
      </c>
      <c r="E9" s="23">
        <f>365/('Financial Statements'!D10/AVERAGE('Financial Statements'!D39,'Financial Statements'!E39))</f>
        <v>9.8520517430561974</v>
      </c>
      <c r="F9" s="23"/>
      <c r="G9" s="23"/>
    </row>
    <row r="10" spans="1:10" x14ac:dyDescent="0.2">
      <c r="A10" s="18">
        <f t="shared" si="0"/>
        <v>1.6000000000000005</v>
      </c>
      <c r="B10" s="1" t="s">
        <v>105</v>
      </c>
      <c r="C10" s="23">
        <f>365/('Financial Statements'!B12/AVERAGE('Financial Statements'!B51,'Financial Statements'!C51))</f>
        <v>97.050428099809437</v>
      </c>
      <c r="D10" s="23">
        <f>365/('Financial Statements'!C12/AVERAGE('Financial Statements'!C51,'Financial Statements'!D51))</f>
        <v>83.168299050150011</v>
      </c>
      <c r="E10" s="23">
        <f>365/('Financial Statements'!D12/AVERAGE('Financial Statements'!D51,'Financial Statements'!E51))</f>
        <v>95.288896490307209</v>
      </c>
      <c r="F10" s="23"/>
      <c r="G10" s="23"/>
    </row>
    <row r="11" spans="1:10" x14ac:dyDescent="0.2">
      <c r="A11" s="18">
        <f t="shared" si="0"/>
        <v>1.7000000000000006</v>
      </c>
      <c r="B11" s="1" t="s">
        <v>106</v>
      </c>
      <c r="C11" s="23">
        <f>365/('Financial Statements'!B8/AVERAGE('Financial Statements'!B38,'Financial Statements'!C38))</f>
        <v>25.205704388225033</v>
      </c>
      <c r="D11" s="23">
        <f>365/('Financial Statements'!C8/AVERAGE('Financial Statements'!C38,'Financial Statements'!D38))</f>
        <v>21.151655062503931</v>
      </c>
      <c r="E11" s="23">
        <f>365/('Financial Statements'!D8/AVERAGE('Financial Statements'!D38,'Financial Statements'!E38))</f>
        <v>25.958126149755024</v>
      </c>
      <c r="F11" s="23"/>
      <c r="G11" s="23"/>
    </row>
    <row r="12" spans="1:10" x14ac:dyDescent="0.2">
      <c r="A12" s="18">
        <f t="shared" si="0"/>
        <v>1.8000000000000007</v>
      </c>
      <c r="B12" s="1" t="s">
        <v>107</v>
      </c>
      <c r="C12" s="23">
        <f>C11+C9-AVERAGE('Financial Statements'!C51,'Financial Statements'!B51)/('Financial Statements'!B10/365)</f>
        <v>-72.037769858688904</v>
      </c>
      <c r="D12" s="23">
        <f>D11+D9-AVERAGE('Financial Statements'!D51,'Financial Statements'!C51)/('Financial Statements'!C10/365)</f>
        <v>-60.876810708875304</v>
      </c>
      <c r="E12" s="23">
        <f>E11+E9-AVERAGE('Financial Statements'!E51,'Financial Statements'!D51)/('Financial Statements'!D10/365)</f>
        <v>-70.988137879963531</v>
      </c>
      <c r="F12" s="23"/>
      <c r="G12" s="23"/>
    </row>
    <row r="13" spans="1:10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23"/>
      <c r="G13" s="23"/>
    </row>
    <row r="14" spans="1:10" x14ac:dyDescent="0.2">
      <c r="A14" s="18"/>
      <c r="B14" s="3" t="s">
        <v>109</v>
      </c>
      <c r="C14" s="23">
        <f>'Financial Statements'!B42-'Financial Statements'!B56</f>
        <v>-18577</v>
      </c>
      <c r="D14" s="23">
        <f>'Financial Statements'!C42-'Financial Statements'!C56</f>
        <v>9355</v>
      </c>
      <c r="E14" s="23">
        <f>'Financial Statements'!D42-'Financial Statements'!D56</f>
        <v>38321</v>
      </c>
      <c r="F14" s="23"/>
      <c r="G14" s="23"/>
    </row>
    <row r="15" spans="1:10" x14ac:dyDescent="0.2">
      <c r="A15" s="18"/>
      <c r="C15" s="23"/>
      <c r="D15" s="23"/>
      <c r="E15" s="23"/>
      <c r="F15" s="23"/>
      <c r="G15" s="23"/>
    </row>
    <row r="16" spans="1:10" x14ac:dyDescent="0.2">
      <c r="A16" s="18">
        <f>+A4+1</f>
        <v>2</v>
      </c>
      <c r="B16" s="17" t="s">
        <v>110</v>
      </c>
      <c r="C16" s="23"/>
      <c r="D16" s="23"/>
      <c r="E16" s="23"/>
      <c r="F16" s="23"/>
      <c r="G16" s="23"/>
    </row>
    <row r="17" spans="1:7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  <c r="G17" s="23"/>
    </row>
    <row r="18" spans="1:7" x14ac:dyDescent="0.2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  <c r="F18" s="23"/>
      <c r="G18" s="23"/>
    </row>
    <row r="19" spans="1:7" x14ac:dyDescent="0.2">
      <c r="A19" s="18"/>
      <c r="B19" s="3" t="s">
        <v>112</v>
      </c>
      <c r="C19" s="23">
        <f>SUM('Financial Statements'!B18,'Financial Statements'!B79)</f>
        <v>130541</v>
      </c>
      <c r="D19" s="23">
        <f>SUM('Financial Statements'!C18,'Financial Statements'!C79)</f>
        <v>120233</v>
      </c>
      <c r="E19" s="23">
        <f>SUM('Financial Statements'!D18,'Financial Statements'!D79)</f>
        <v>77344</v>
      </c>
      <c r="F19" s="23"/>
      <c r="G19" s="23"/>
    </row>
    <row r="20" spans="1:7" x14ac:dyDescent="0.2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  <c r="F20" s="23"/>
      <c r="G20" s="23"/>
    </row>
    <row r="21" spans="1:7" x14ac:dyDescent="0.2">
      <c r="A21" s="18"/>
      <c r="B21" s="3" t="s">
        <v>114</v>
      </c>
      <c r="C21" s="23">
        <f>'Financial Statements'!B18</f>
        <v>119437</v>
      </c>
      <c r="D21" s="23">
        <f>'Financial Statements'!C18</f>
        <v>108949</v>
      </c>
      <c r="E21" s="23">
        <f>'Financial Statements'!D18</f>
        <v>66288</v>
      </c>
      <c r="F21" s="23"/>
      <c r="G21" s="23"/>
    </row>
    <row r="22" spans="1:7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  <c r="G22" s="23"/>
    </row>
    <row r="23" spans="1:7" x14ac:dyDescent="0.2">
      <c r="A23" s="18"/>
      <c r="C23" s="23"/>
      <c r="D23" s="23"/>
      <c r="E23" s="23"/>
      <c r="F23" s="23"/>
      <c r="G23" s="23"/>
    </row>
    <row r="24" spans="1:7" x14ac:dyDescent="0.2">
      <c r="A24" s="18">
        <f>+A16+1</f>
        <v>3</v>
      </c>
      <c r="B24" s="7" t="s">
        <v>116</v>
      </c>
      <c r="C24" s="23"/>
      <c r="D24" s="23"/>
      <c r="E24" s="23"/>
      <c r="F24" s="23"/>
      <c r="G24" s="23"/>
    </row>
    <row r="25" spans="1:7" x14ac:dyDescent="0.2">
      <c r="A25" s="18">
        <f>+A24+0.1</f>
        <v>3.1</v>
      </c>
      <c r="B25" s="1" t="s">
        <v>117</v>
      </c>
      <c r="C25" s="23">
        <f>SUM('Financial Statements'!B51,'Financial Statements'!B53,'Financial Statements'!B54,'Financial Statements'!B55,'Financial Statements'!B59)/'Financial Statements'!B68</f>
        <v>3.7909693716450898</v>
      </c>
      <c r="D25" s="23">
        <f>SUM('Financial Statements'!C51,'Financial Statements'!C53,'Financial Statements'!C54,'Financial Statements'!C55,'Financial Statements'!C59)/'Financial Statements'!C68</f>
        <v>2.9655095894753525</v>
      </c>
      <c r="E25" s="23">
        <f>SUM('Financial Statements'!D51,'Financial Statements'!D53,'Financial Statements'!D54,'Financial Statements'!D55,'Financial Statements'!D59)/'Financial Statements'!D68</f>
        <v>2.4698112918777455</v>
      </c>
      <c r="F25" s="23"/>
      <c r="G25" s="23"/>
    </row>
    <row r="26" spans="1:7" x14ac:dyDescent="0.2">
      <c r="A26" s="18">
        <f t="shared" ref="A26:A30" si="1">+A25+0.1</f>
        <v>3.2</v>
      </c>
      <c r="B26" s="1" t="s">
        <v>118</v>
      </c>
      <c r="C26" s="23">
        <f>SUM('Financial Statements'!B51,'Financial Statements'!B53,'Financial Statements'!B54,'Financial Statements'!B55,'Financial Statements'!B59)/'Financial Statements'!B69</f>
        <v>0.54455925500701619</v>
      </c>
      <c r="D26" s="23">
        <f>SUM('Financial Statements'!C51,'Financial Statements'!C53,'Financial Statements'!C54,'Financial Statements'!C55,'Financial Statements'!C59)/'Financial Statements'!C69</f>
        <v>0.53302830183303795</v>
      </c>
      <c r="E26" s="23">
        <f>SUM('Financial Statements'!D51,'Financial Statements'!D53,'Financial Statements'!D54,'Financial Statements'!D55,'Financial Statements'!D59)/'Financial Statements'!D69</f>
        <v>0.49824321987847653</v>
      </c>
      <c r="F26" s="23"/>
      <c r="G26" s="23"/>
    </row>
    <row r="27" spans="1:7" x14ac:dyDescent="0.2">
      <c r="A27" s="18">
        <f t="shared" si="1"/>
        <v>3.3000000000000003</v>
      </c>
      <c r="B27" s="1" t="s">
        <v>119</v>
      </c>
      <c r="C27" s="23">
        <f>'Financial Statements'!B59/SUM('Financial Statements'!B51,'Financial Statements'!B53,'Financial Statements'!B54,'Financial Statements'!B55,'Financial Statements'!B59)+'Financial Statements'!B68</f>
        <v>50672.515153881395</v>
      </c>
      <c r="D27" s="23">
        <f>'Financial Statements'!C59/SUM('Financial Statements'!C51,'Financial Statements'!C53,'Financial Statements'!C54,'Financial Statements'!C55,'Financial Statements'!C59)+'Financial Statements'!C68</f>
        <v>63090.583161405499</v>
      </c>
      <c r="E27" s="23">
        <f>'Financial Statements'!D59/SUM('Financial Statements'!D51,'Financial Statements'!D53,'Financial Statements'!D54,'Financial Statements'!D55,'Financial Statements'!D59)+'Financial Statements'!D68</f>
        <v>65339.611414407438</v>
      </c>
      <c r="F27" s="23"/>
      <c r="G27" s="23"/>
    </row>
    <row r="28" spans="1:7" x14ac:dyDescent="0.2">
      <c r="A28" s="18">
        <f t="shared" si="1"/>
        <v>3.4000000000000004</v>
      </c>
      <c r="B28" s="1" t="s">
        <v>120</v>
      </c>
      <c r="C28" s="23">
        <f>'Financial Statements'!B114/'Financial Statements'!B105*(-1)</f>
        <v>0.30022005658597928</v>
      </c>
      <c r="D28" s="23">
        <f>'Financial Statements'!C114/'Financial Statements'!C105*(-1)</f>
        <v>0.3070857142857143</v>
      </c>
      <c r="E28" s="23">
        <f>'Financial Statements'!D114/'Financial Statements'!D105*(-1)</f>
        <v>0.23770686515163514</v>
      </c>
      <c r="F28" s="23"/>
      <c r="G28" s="23"/>
    </row>
    <row r="29" spans="1:7" x14ac:dyDescent="0.2">
      <c r="A29" s="18">
        <f t="shared" si="1"/>
        <v>3.5000000000000004</v>
      </c>
      <c r="B29" s="1" t="s">
        <v>121</v>
      </c>
      <c r="C29" s="23" t="e">
        <f>(C19-'List of Ratios'!B122)/('Financial Statements'!B114+SUM('Financial Statements'!B51,'Financial Statements'!B53,'Financial Statements'!B54,'Financial Statements'!B55,'Financial Statements'!B59:B60))</f>
        <v>#VALUE!</v>
      </c>
      <c r="D29" s="23">
        <f>(D19-'List of Ratios'!C122)/('Financial Statements'!C114+SUM('Financial Statements'!C51,'Financial Statements'!C53,'Financial Statements'!C54,'Financial Statements'!C55,'Financial Statements'!C59:C60))</f>
        <v>0.4945692286640106</v>
      </c>
      <c r="E29" s="23">
        <f>(E19-'List of Ratios'!D122)/('Financial Statements'!D114+SUM('Financial Statements'!D51,'Financial Statements'!D53,'Financial Statements'!D54,'Financial Statements'!D55,'Financial Statements'!D59:D60))</f>
        <v>0.35338237917121557</v>
      </c>
      <c r="F29" s="23"/>
      <c r="G29" s="23"/>
    </row>
    <row r="30" spans="1:7" x14ac:dyDescent="0.2">
      <c r="A30" s="18">
        <f t="shared" si="1"/>
        <v>3.6000000000000005</v>
      </c>
      <c r="B30" s="1" t="s">
        <v>122</v>
      </c>
      <c r="C30" s="23">
        <f>C31/'Financial Statements'!B27</f>
        <v>6.6209450527236653E-3</v>
      </c>
      <c r="D30" s="23">
        <f>D31/'Financial Statements'!C27</f>
        <v>6.2627565133961055E-3</v>
      </c>
      <c r="E30" s="23">
        <f>E31/'Financial Statements'!D27</f>
        <v>4.4275284188634249E-3</v>
      </c>
      <c r="F30" s="23"/>
      <c r="G30" s="23"/>
    </row>
    <row r="31" spans="1:7" x14ac:dyDescent="0.2">
      <c r="A31" s="18"/>
      <c r="B31" s="3" t="s">
        <v>123</v>
      </c>
      <c r="C31" s="23">
        <f>'Financial Statements'!B91-('Financial Statements'!B96)*(-1)+'Financial Statements'!B104-(-1)*'Financial Statements'!B105</f>
        <v>107365</v>
      </c>
      <c r="D31" s="23">
        <f>'Financial Statements'!C91-('Financial Statements'!C96)*(-1)+'Financial Statements'!C104-(-1)*'Financial Statements'!C105</f>
        <v>104596</v>
      </c>
      <c r="E31" s="23">
        <f>'Financial Statements'!D91-('Financial Statements'!D96)*(-1)+'Financial Statements'!D104-(-1)*'Financial Statements'!D105</f>
        <v>76827</v>
      </c>
      <c r="F31" s="23"/>
      <c r="G31" s="23"/>
    </row>
    <row r="32" spans="1:7" x14ac:dyDescent="0.2">
      <c r="A32" s="18"/>
      <c r="C32" s="23"/>
      <c r="D32" s="23"/>
      <c r="E32" s="23"/>
      <c r="F32" s="23"/>
      <c r="G32" s="23"/>
    </row>
    <row r="33" spans="1:7" x14ac:dyDescent="0.2">
      <c r="A33" s="18">
        <f>+A24+1</f>
        <v>4</v>
      </c>
      <c r="B33" s="17" t="s">
        <v>124</v>
      </c>
      <c r="C33" s="23"/>
      <c r="D33" s="23"/>
      <c r="E33" s="23"/>
      <c r="F33" s="23"/>
      <c r="G33" s="23"/>
    </row>
    <row r="34" spans="1:7" x14ac:dyDescent="0.2">
      <c r="A34" s="18">
        <f>+A33+0.1</f>
        <v>4.0999999999999996</v>
      </c>
      <c r="B34" s="1" t="s">
        <v>125</v>
      </c>
      <c r="C34" s="23">
        <f>'Financial Statements'!B8/AVERAGE('Financial Statements'!B48,'Financial Statements'!C48)</f>
        <v>1.1206368107173357</v>
      </c>
      <c r="D34" s="23">
        <f>'Financial Statements'!C8/AVERAGE('Financial Statements'!C48,'Financial Statements'!D48)</f>
        <v>1.084078886929722</v>
      </c>
      <c r="E34" s="23">
        <f>'Financial Statements'!D8/AVERAGE('Financial Statements'!D48,'Financial Statements'!E48)</f>
        <v>0.82884463258072116</v>
      </c>
      <c r="F34" s="23"/>
      <c r="G34" s="23"/>
    </row>
    <row r="35" spans="1:7" x14ac:dyDescent="0.2">
      <c r="A35" s="18">
        <f t="shared" ref="A35:A37" si="2">+A34+0.1</f>
        <v>4.1999999999999993</v>
      </c>
      <c r="B35" s="1" t="s">
        <v>126</v>
      </c>
      <c r="C35" s="23">
        <f>'Financial Statements'!B8/AVERAGE('Financial Statements'!B45,'Financial Statements'!C45)</f>
        <v>9.6699976703409884</v>
      </c>
      <c r="D35" s="23">
        <f>'Financial Statements'!C8/AVERAGE('Financial Statements'!C45,'Financial Statements'!D45)</f>
        <v>9.6007400992047867</v>
      </c>
      <c r="E35" s="23">
        <f>'Financial Statements'!D8/AVERAGE('Financial Statements'!D45,'Financial Statements'!E45)</f>
        <v>7.4049147604661201</v>
      </c>
      <c r="F35" s="23"/>
      <c r="G35" s="23"/>
    </row>
    <row r="36" spans="1:7" x14ac:dyDescent="0.2">
      <c r="A36" s="18">
        <f t="shared" si="2"/>
        <v>4.2999999999999989</v>
      </c>
      <c r="B36" s="1" t="s">
        <v>127</v>
      </c>
      <c r="C36" s="23">
        <f>'Financial Statements'!B10/AVERAGE('Financial Statements'!B39,'Financial Statements'!C39)</f>
        <v>34.959396147839669</v>
      </c>
      <c r="D36" s="23">
        <f>'Financial Statements'!C10/AVERAGE('Financial Statements'!C39,'Financial Statements'!D39)</f>
        <v>36.136829245371679</v>
      </c>
      <c r="E36" s="23">
        <f>'Financial Statements'!D10/AVERAGE('Financial Statements'!D39,'Financial Statements'!E39)</f>
        <v>37.048120484878169</v>
      </c>
      <c r="F36" s="23"/>
      <c r="G36" s="23" t="s">
        <v>150</v>
      </c>
    </row>
    <row r="37" spans="1:7" x14ac:dyDescent="0.2">
      <c r="A37" s="18">
        <f t="shared" si="2"/>
        <v>4.3999999999999986</v>
      </c>
      <c r="B37" s="1" t="s">
        <v>128</v>
      </c>
      <c r="C37" s="23">
        <f>('Financial Statements'!B22+'Financial Statements'!B114*(1-C38))/AVERAGE('Financial Statements'!B48,'Financial Statements'!C48)</f>
        <v>0.29045215891280651</v>
      </c>
      <c r="D37" s="23">
        <f>('Financial Statements'!C22+'Financial Statements'!C114*(1-D38))/AVERAGE('Financial Statements'!C48,'Financial Statements'!D48)</f>
        <v>0.28748278682451955</v>
      </c>
      <c r="E37" s="23">
        <f>('Financial Statements'!D22+'Financial Statements'!D114*(1-E38))/AVERAGE('Financial Statements'!D48,'Financial Statements'!E48)</f>
        <v>0.18110008997530208</v>
      </c>
      <c r="F37" s="23"/>
      <c r="G37" s="23"/>
    </row>
    <row r="38" spans="1:7" x14ac:dyDescent="0.2">
      <c r="A38" s="18"/>
      <c r="B38" s="24" t="s">
        <v>151</v>
      </c>
      <c r="C38" s="25">
        <v>0.16200000000000001</v>
      </c>
      <c r="D38" s="25">
        <v>0.13300000000000001</v>
      </c>
      <c r="E38" s="25">
        <v>0.14399999999999999</v>
      </c>
      <c r="F38" s="23"/>
      <c r="G38" s="26" t="s">
        <v>152</v>
      </c>
    </row>
    <row r="39" spans="1:7" x14ac:dyDescent="0.2">
      <c r="A39" s="18">
        <f>+A33+1</f>
        <v>5</v>
      </c>
      <c r="B39" s="17" t="s">
        <v>129</v>
      </c>
      <c r="C39" s="23"/>
      <c r="D39" s="23"/>
      <c r="E39" s="23"/>
      <c r="F39" s="23"/>
      <c r="G39" s="23"/>
    </row>
    <row r="40" spans="1:7" x14ac:dyDescent="0.2">
      <c r="A40" s="18">
        <f>+A39+0.1</f>
        <v>5.0999999999999996</v>
      </c>
      <c r="B40" s="1" t="s">
        <v>130</v>
      </c>
      <c r="C40" s="23">
        <f>$C$54/C41</f>
        <v>35.602291325695582</v>
      </c>
      <c r="D40" s="23">
        <f t="shared" ref="D40:E40" si="3">$C$54/D41</f>
        <v>38.775401069518715</v>
      </c>
      <c r="E40" s="23">
        <f t="shared" si="3"/>
        <v>66.320121951219519</v>
      </c>
      <c r="F40" s="23"/>
      <c r="G40" s="23"/>
    </row>
    <row r="41" spans="1:7" x14ac:dyDescent="0.2">
      <c r="A41" s="18">
        <f t="shared" ref="A41:A44" si="4">+A40+0.1</f>
        <v>5.1999999999999993</v>
      </c>
      <c r="B41" s="3" t="s">
        <v>131</v>
      </c>
      <c r="C41" s="23">
        <f>'Financial Statements'!B25</f>
        <v>6.11</v>
      </c>
      <c r="D41" s="23">
        <f>'Financial Statements'!C25</f>
        <v>5.61</v>
      </c>
      <c r="E41" s="23">
        <f>'Financial Statements'!D25</f>
        <v>3.28</v>
      </c>
      <c r="F41" s="23"/>
      <c r="G41" s="23"/>
    </row>
    <row r="42" spans="1:7" x14ac:dyDescent="0.2">
      <c r="A42" s="18">
        <f t="shared" si="4"/>
        <v>5.2999999999999989</v>
      </c>
      <c r="B42" s="1" t="s">
        <v>132</v>
      </c>
      <c r="C42" s="23">
        <f>$C$54/C43</f>
        <v>70.085163543377007</v>
      </c>
      <c r="D42" s="23">
        <f t="shared" ref="D42:E42" si="5">$C$54/D43</f>
        <v>56.290306024251066</v>
      </c>
      <c r="E42" s="23">
        <f t="shared" si="5"/>
        <v>54.352766449899754</v>
      </c>
      <c r="F42" s="23"/>
      <c r="G42" s="23"/>
    </row>
    <row r="43" spans="1:7" x14ac:dyDescent="0.2">
      <c r="A43" s="18">
        <f t="shared" si="4"/>
        <v>5.3999999999999986</v>
      </c>
      <c r="B43" s="3" t="s">
        <v>133</v>
      </c>
      <c r="C43" s="23">
        <f>'Financial Statements'!B68/'List of Ratios'!C53</f>
        <v>3.1037952827971451</v>
      </c>
      <c r="D43" s="23">
        <f>'Financial Statements'!C68/'List of Ratios'!D53</f>
        <v>3.8644309360528868</v>
      </c>
      <c r="E43" s="23">
        <f>'Financial Statements'!D68/'List of Ratios'!E53</f>
        <v>4.0021881903750129</v>
      </c>
      <c r="F43" s="23"/>
      <c r="G43" s="23"/>
    </row>
    <row r="44" spans="1:7" x14ac:dyDescent="0.2">
      <c r="A44" s="18">
        <f t="shared" si="4"/>
        <v>5.4999999999999982</v>
      </c>
      <c r="B44" s="1" t="s">
        <v>134</v>
      </c>
      <c r="C44" s="23">
        <f>-1*'Financial Statements'!B102/'Financial Statements'!B22</f>
        <v>0.14870294480125848</v>
      </c>
      <c r="D44" s="23">
        <f>-1*'Financial Statements'!C102/'Financial Statements'!C22</f>
        <v>0.15279890156316012</v>
      </c>
      <c r="E44" s="23">
        <f>-1*'Financial Statements'!D102/'Financial Statements'!D22</f>
        <v>0.24526658654264863</v>
      </c>
      <c r="F44" s="23"/>
      <c r="G44" s="23"/>
    </row>
    <row r="45" spans="1:7" x14ac:dyDescent="0.2">
      <c r="A45" s="18"/>
      <c r="B45" s="3" t="s">
        <v>135</v>
      </c>
      <c r="C45" s="23">
        <f>-1*'Financial Statements'!B102/C53</f>
        <v>0.90905087211857494</v>
      </c>
      <c r="D45" s="23">
        <f>-1*'Financial Statements'!C102/D53</f>
        <v>0.88614237362303239</v>
      </c>
      <c r="E45" s="23">
        <f>-1*'Financial Statements'!D102/E53</f>
        <v>0.86249884309019964</v>
      </c>
      <c r="F45" s="23"/>
      <c r="G45" s="23"/>
    </row>
    <row r="46" spans="1:7" x14ac:dyDescent="0.2">
      <c r="A46" s="18">
        <f>+A44+0.1</f>
        <v>5.5999999999999979</v>
      </c>
      <c r="B46" s="1" t="s">
        <v>136</v>
      </c>
      <c r="C46" s="29">
        <f>C45/$C$54</f>
        <v>4.1789678302697328E-3</v>
      </c>
      <c r="D46" s="29">
        <f t="shared" ref="D46:E46" si="6">D45/$C$54</f>
        <v>4.0736559261850425E-3</v>
      </c>
      <c r="E46" s="29">
        <f t="shared" si="6"/>
        <v>3.9649650305254433E-3</v>
      </c>
      <c r="F46" s="23"/>
      <c r="G46" s="23"/>
    </row>
    <row r="47" spans="1:7" x14ac:dyDescent="0.2">
      <c r="A47" s="18">
        <f t="shared" ref="A47:A50" si="7">+A45+0.1</f>
        <v>0.1</v>
      </c>
      <c r="B47" s="1" t="s">
        <v>137</v>
      </c>
      <c r="C47" s="23">
        <f>'Financial Statements'!B22/AVERAGE('Financial Statements'!B68,'Financial Statements'!C68)</f>
        <v>1.7545929220653644</v>
      </c>
      <c r="D47" s="23">
        <f>'Financial Statements'!C22/AVERAGE('Financial Statements'!C68,'Financial Statements'!D68)</f>
        <v>1.4744333444938449</v>
      </c>
      <c r="E47" s="23">
        <f>'Financial Statements'!D22/AVERAGE('Financial Statements'!D68,'Financial Statements'!E68)</f>
        <v>0.73685561552234213</v>
      </c>
      <c r="F47" s="23"/>
      <c r="G47" s="23"/>
    </row>
    <row r="48" spans="1:7" x14ac:dyDescent="0.2">
      <c r="A48" s="18">
        <f t="shared" si="7"/>
        <v>5.6999999999999975</v>
      </c>
      <c r="B48" s="1" t="s">
        <v>138</v>
      </c>
      <c r="C48" s="23">
        <f>C21/('Financial Statements'!B48-'Financial Statements'!B62)</f>
        <v>2.3570610988317018</v>
      </c>
      <c r="D48" s="23">
        <f>D21/('Financial Statements'!C48-'Financial Statements'!C62)</f>
        <v>1.7268822317324457</v>
      </c>
      <c r="E48" s="23">
        <f>E21/('Financial Statements'!D48-'Financial Statements'!D62)</f>
        <v>1.0145242504476653</v>
      </c>
      <c r="F48" s="23"/>
      <c r="G48" s="23"/>
    </row>
    <row r="49" spans="1:7" x14ac:dyDescent="0.2">
      <c r="A49" s="18">
        <f t="shared" si="7"/>
        <v>0.2</v>
      </c>
      <c r="B49" s="1" t="s">
        <v>128</v>
      </c>
      <c r="C49" s="23">
        <f>('Financial Statements'!B22+'Financial Statements'!B114*(1-'List of Ratios'!C38))/AVERAGE('Financial Statements'!B48,'Financial Statements'!C48)</f>
        <v>0.29045215891280651</v>
      </c>
      <c r="D49" s="23">
        <f>('Financial Statements'!C22+'Financial Statements'!C114*(1-'List of Ratios'!D38))/AVERAGE('Financial Statements'!C48,'Financial Statements'!D48)</f>
        <v>0.28748278682451955</v>
      </c>
      <c r="E49" s="23">
        <f>('Financial Statements'!D22+'Financial Statements'!D114*(1-'List of Ratios'!E38))/AVERAGE('Financial Statements'!D48,'Financial Statements'!E48)</f>
        <v>0.18110008997530208</v>
      </c>
      <c r="F49" s="23"/>
      <c r="G49" s="23"/>
    </row>
    <row r="50" spans="1:7" x14ac:dyDescent="0.2">
      <c r="A50" s="18">
        <f t="shared" si="7"/>
        <v>5.7999999999999972</v>
      </c>
      <c r="B50" s="1" t="s">
        <v>139</v>
      </c>
      <c r="C50" s="23">
        <f>C51/C19</f>
        <v>1.2904263898346655</v>
      </c>
      <c r="D50" s="23">
        <f t="shared" ref="D50:E50" si="8">D51/D19</f>
        <v>1.2654928347458685</v>
      </c>
      <c r="E50" s="23">
        <f t="shared" si="8"/>
        <v>1.5949394911046753</v>
      </c>
      <c r="F50" s="23"/>
      <c r="G50" s="23"/>
    </row>
    <row r="51" spans="1:7" x14ac:dyDescent="0.2">
      <c r="A51" s="18"/>
      <c r="B51" s="3" t="s">
        <v>140</v>
      </c>
      <c r="C51" s="23">
        <f>C53*C54/1000000+SUM('Financial Statements'!B51,'Financial Statements'!B53:B55,'Financial Statements'!B59)-'Financial Statements'!B36</f>
        <v>168453.55135540708</v>
      </c>
      <c r="D51" s="23">
        <f>D53*D54/1000000+SUM('Financial Statements'!C51,'Financial Statements'!C53:C55,'Financial Statements'!C59)-'Financial Statements'!C36</f>
        <v>152154</v>
      </c>
      <c r="E51" s="23">
        <f>E53*E54/1000000+SUM('Financial Statements'!D51,'Financial Statements'!D53:D55,'Financial Statements'!D59)-'Financial Statements'!D36</f>
        <v>123359</v>
      </c>
      <c r="F51" s="23"/>
      <c r="G51" s="23"/>
    </row>
    <row r="52" spans="1:7" x14ac:dyDescent="0.2">
      <c r="C52" s="23"/>
      <c r="D52" s="23"/>
      <c r="E52" s="23"/>
      <c r="F52" s="23"/>
      <c r="G52" s="23"/>
    </row>
    <row r="53" spans="1:7" x14ac:dyDescent="0.2">
      <c r="B53" s="24" t="s">
        <v>154</v>
      </c>
      <c r="C53" s="28">
        <f>16325819/1000</f>
        <v>16325.819</v>
      </c>
      <c r="D53" s="28">
        <f t="shared" ref="D53:F53" si="9">16325819/1000</f>
        <v>16325.819</v>
      </c>
      <c r="E53" s="28">
        <f t="shared" si="9"/>
        <v>16325.819</v>
      </c>
      <c r="F53" s="28">
        <f t="shared" si="9"/>
        <v>16325.819</v>
      </c>
      <c r="G53" s="26" t="s">
        <v>152</v>
      </c>
    </row>
    <row r="54" spans="1:7" x14ac:dyDescent="0.2">
      <c r="B54" s="30" t="s">
        <v>159</v>
      </c>
      <c r="C54" s="28">
        <f>217.53</f>
        <v>217.53</v>
      </c>
      <c r="D54" s="23"/>
      <c r="E54" s="23"/>
      <c r="F54" s="23"/>
      <c r="G54" s="23"/>
    </row>
    <row r="55" spans="1:7" x14ac:dyDescent="0.2">
      <c r="C55" s="23"/>
      <c r="D55" s="23"/>
      <c r="E55" s="23"/>
      <c r="F55" s="23"/>
      <c r="G55" s="23"/>
    </row>
    <row r="56" spans="1:7" x14ac:dyDescent="0.2">
      <c r="C56" s="23"/>
      <c r="D56" s="23"/>
      <c r="E56" s="23"/>
      <c r="F56" s="23"/>
      <c r="G56" s="23"/>
    </row>
    <row r="57" spans="1:7" x14ac:dyDescent="0.2">
      <c r="B57" s="17" t="s">
        <v>149</v>
      </c>
      <c r="C57" s="23"/>
      <c r="D57" s="23"/>
      <c r="E57" s="23"/>
      <c r="F57" s="23"/>
      <c r="G57" s="23"/>
    </row>
    <row r="58" spans="1:7" x14ac:dyDescent="0.2">
      <c r="A58" s="42"/>
      <c r="B58" s="1" t="s">
        <v>145</v>
      </c>
      <c r="C58" s="23"/>
      <c r="D58" s="23"/>
      <c r="E58" s="23"/>
      <c r="F58" s="23"/>
      <c r="G58" s="23"/>
    </row>
    <row r="59" spans="1:7" x14ac:dyDescent="0.2">
      <c r="A59" s="42"/>
      <c r="B59" s="1" t="s">
        <v>89</v>
      </c>
    </row>
    <row r="60" spans="1:7" x14ac:dyDescent="0.2">
      <c r="A60" s="42"/>
      <c r="B60" s="1" t="s">
        <v>90</v>
      </c>
    </row>
    <row r="61" spans="1:7" x14ac:dyDescent="0.2">
      <c r="A61" s="42"/>
      <c r="B61" s="1" t="s">
        <v>91</v>
      </c>
    </row>
    <row r="62" spans="1:7" x14ac:dyDescent="0.2">
      <c r="B62" s="1"/>
    </row>
    <row r="63" spans="1:7" x14ac:dyDescent="0.2">
      <c r="C63" s="7">
        <v>2022</v>
      </c>
      <c r="D63" s="7">
        <v>2021</v>
      </c>
      <c r="E63" s="7">
        <v>2020</v>
      </c>
      <c r="F63" s="7">
        <v>2019</v>
      </c>
    </row>
    <row r="64" spans="1:7" x14ac:dyDescent="0.2">
      <c r="B64" s="7" t="s">
        <v>3</v>
      </c>
      <c r="F64" s="32"/>
    </row>
    <row r="65" spans="2:6" x14ac:dyDescent="0.2">
      <c r="B65" s="1" t="s">
        <v>4</v>
      </c>
      <c r="C65" s="12">
        <v>316199</v>
      </c>
      <c r="D65" s="12">
        <v>297392</v>
      </c>
      <c r="E65" s="12">
        <v>220747</v>
      </c>
      <c r="F65" s="33">
        <v>213883</v>
      </c>
    </row>
    <row r="66" spans="2:6" x14ac:dyDescent="0.2">
      <c r="B66" s="43" t="s">
        <v>156</v>
      </c>
      <c r="C66" s="44">
        <f>(C65-D65)/D65</f>
        <v>6.3239764351428418E-2</v>
      </c>
      <c r="D66" s="44">
        <f t="shared" ref="D66:E66" si="10">(D65-E65)/E65</f>
        <v>0.34720743656765435</v>
      </c>
      <c r="E66" s="44">
        <f t="shared" si="10"/>
        <v>3.2092312151970941E-2</v>
      </c>
      <c r="F66" s="33"/>
    </row>
    <row r="67" spans="2:6" x14ac:dyDescent="0.2">
      <c r="B67" s="1" t="s">
        <v>5</v>
      </c>
      <c r="C67" s="12">
        <v>78129</v>
      </c>
      <c r="D67" s="12">
        <v>68425</v>
      </c>
      <c r="E67" s="12">
        <v>53768</v>
      </c>
      <c r="F67" s="33">
        <v>46291</v>
      </c>
    </row>
    <row r="68" spans="2:6" x14ac:dyDescent="0.2">
      <c r="B68" s="43" t="s">
        <v>155</v>
      </c>
      <c r="C68" s="44">
        <f>(C67-D67)/D67</f>
        <v>0.14181951041286078</v>
      </c>
      <c r="D68" s="44">
        <f t="shared" ref="D68:E68" si="11">(D67-E67)/E67</f>
        <v>0.27259708376729652</v>
      </c>
      <c r="E68" s="44">
        <f t="shared" si="11"/>
        <v>0.16152167807997234</v>
      </c>
      <c r="F68" s="33"/>
    </row>
    <row r="69" spans="2:6" x14ac:dyDescent="0.2">
      <c r="B69" s="8" t="s">
        <v>6</v>
      </c>
      <c r="C69" s="13">
        <f>+C65+C67</f>
        <v>394328</v>
      </c>
      <c r="D69" s="13">
        <f>+D65+D67</f>
        <v>365817</v>
      </c>
      <c r="E69" s="13">
        <f>+E65+E67</f>
        <v>274515</v>
      </c>
      <c r="F69" s="33">
        <v>260174</v>
      </c>
    </row>
    <row r="70" spans="2:6" x14ac:dyDescent="0.2">
      <c r="B70" s="43" t="s">
        <v>155</v>
      </c>
      <c r="C70" s="47">
        <f>(C69-D69)/D69</f>
        <v>7.7937876041846058E-2</v>
      </c>
      <c r="D70" s="47">
        <f t="shared" ref="D70:E70" si="12">(D69-E69)/E69</f>
        <v>0.33259384733074693</v>
      </c>
      <c r="E70" s="47">
        <f t="shared" si="12"/>
        <v>5.5120803769784836E-2</v>
      </c>
    </row>
    <row r="71" spans="2:6" x14ac:dyDescent="0.2">
      <c r="B71" s="24"/>
      <c r="C71" s="41"/>
      <c r="D71" s="41"/>
      <c r="E71" s="41"/>
    </row>
    <row r="72" spans="2:6" x14ac:dyDescent="0.2">
      <c r="B72" s="8" t="s">
        <v>9</v>
      </c>
      <c r="C72" s="13">
        <f>+C67-C71</f>
        <v>78129</v>
      </c>
      <c r="D72" s="13">
        <f t="shared" ref="D72:E72" si="13">+D67-D71</f>
        <v>68425</v>
      </c>
      <c r="E72" s="13">
        <f t="shared" si="13"/>
        <v>53768</v>
      </c>
      <c r="F72" s="33">
        <v>98392</v>
      </c>
    </row>
    <row r="73" spans="2:6" x14ac:dyDescent="0.2">
      <c r="B73" s="43" t="s">
        <v>155</v>
      </c>
      <c r="C73" s="48">
        <f>(C72-D72)/D72</f>
        <v>0.14181951041286078</v>
      </c>
      <c r="D73" s="48">
        <f t="shared" ref="D73:E73" si="14">(D72-E72)/E72</f>
        <v>0.27259708376729652</v>
      </c>
      <c r="E73" s="48">
        <f t="shared" si="14"/>
        <v>-0.45353280754532888</v>
      </c>
      <c r="F73" s="33"/>
    </row>
    <row r="74" spans="2:6" x14ac:dyDescent="0.2">
      <c r="B74" t="s">
        <v>10</v>
      </c>
      <c r="C74" s="12"/>
      <c r="D74" s="12"/>
      <c r="E74" s="12"/>
      <c r="F74" s="32"/>
    </row>
    <row r="75" spans="2:6" x14ac:dyDescent="0.2">
      <c r="B75" s="1" t="s">
        <v>11</v>
      </c>
      <c r="C75" s="12">
        <v>26251</v>
      </c>
      <c r="D75" s="12">
        <v>21914</v>
      </c>
      <c r="E75" s="12">
        <v>18752</v>
      </c>
      <c r="F75" s="33">
        <v>16217</v>
      </c>
    </row>
    <row r="76" spans="2:6" x14ac:dyDescent="0.2">
      <c r="B76" s="45" t="s">
        <v>155</v>
      </c>
      <c r="C76" s="44">
        <f>(C75-D75)/D75</f>
        <v>0.19791001186456147</v>
      </c>
      <c r="D76" s="44">
        <f t="shared" ref="D76:E76" si="15">(D75-E75)/E75</f>
        <v>0.16862201365187712</v>
      </c>
      <c r="E76" s="44">
        <f t="shared" si="15"/>
        <v>0.15631744465684158</v>
      </c>
      <c r="F76" s="33"/>
    </row>
    <row r="77" spans="2:6" x14ac:dyDescent="0.2">
      <c r="B77" s="1" t="s">
        <v>12</v>
      </c>
      <c r="C77" s="12">
        <v>25094</v>
      </c>
      <c r="D77" s="12">
        <v>21973</v>
      </c>
      <c r="E77" s="12">
        <v>19916</v>
      </c>
      <c r="F77" s="33">
        <v>18245</v>
      </c>
    </row>
    <row r="78" spans="2:6" x14ac:dyDescent="0.2">
      <c r="B78" s="45" t="s">
        <v>155</v>
      </c>
      <c r="C78" s="44">
        <f>(C77-D77)/D77</f>
        <v>0.14203795567287125</v>
      </c>
      <c r="D78" s="44">
        <f t="shared" ref="D78:E78" si="16">(D77-E77)/E77</f>
        <v>0.10328379192608958</v>
      </c>
      <c r="E78" s="44">
        <f t="shared" si="16"/>
        <v>9.1586736092080026E-2</v>
      </c>
      <c r="F78" s="33"/>
    </row>
    <row r="79" spans="2:6" x14ac:dyDescent="0.2">
      <c r="B79" s="8" t="s">
        <v>13</v>
      </c>
      <c r="C79" s="13">
        <f>+C75+C77</f>
        <v>51345</v>
      </c>
      <c r="D79" s="13">
        <f>+D75+D77</f>
        <v>43887</v>
      </c>
      <c r="E79" s="13">
        <f>+E75+E77</f>
        <v>38668</v>
      </c>
      <c r="F79" s="33">
        <v>34462</v>
      </c>
    </row>
    <row r="80" spans="2:6" x14ac:dyDescent="0.2">
      <c r="B80" s="46" t="s">
        <v>157</v>
      </c>
      <c r="C80" s="47">
        <f>(C79-D79)/D79</f>
        <v>0.16993642764372138</v>
      </c>
      <c r="D80" s="47">
        <f t="shared" ref="D80:E80" si="17">(D79-E79)/E79</f>
        <v>0.13496948381090307</v>
      </c>
      <c r="E80" s="47">
        <f t="shared" si="17"/>
        <v>0.12204747257849226</v>
      </c>
      <c r="F80" s="33"/>
    </row>
    <row r="81" spans="1:6" x14ac:dyDescent="0.2">
      <c r="B81" s="8" t="s">
        <v>14</v>
      </c>
      <c r="C81" s="13">
        <f>+C72-C79</f>
        <v>26784</v>
      </c>
      <c r="D81" s="13">
        <f>+D72-D79</f>
        <v>24538</v>
      </c>
      <c r="E81" s="13">
        <f>+E72-E79</f>
        <v>15100</v>
      </c>
      <c r="F81" s="34">
        <v>63930</v>
      </c>
    </row>
    <row r="82" spans="1:6" x14ac:dyDescent="0.2">
      <c r="B82" s="46" t="s">
        <v>157</v>
      </c>
      <c r="C82" s="48">
        <f>(C81-D81)/D81</f>
        <v>9.1531502159915235E-2</v>
      </c>
      <c r="D82" s="48">
        <f t="shared" ref="D82:E82" si="18">(D81-E81)/E81</f>
        <v>0.62503311258278149</v>
      </c>
      <c r="E82" s="48">
        <f t="shared" si="18"/>
        <v>-0.76380416080087599</v>
      </c>
      <c r="F82" s="34"/>
    </row>
    <row r="83" spans="1:6" x14ac:dyDescent="0.2">
      <c r="C83" s="12"/>
      <c r="D83" s="12"/>
      <c r="E83" s="12"/>
      <c r="F83" s="33"/>
    </row>
    <row r="84" spans="1:6" x14ac:dyDescent="0.2">
      <c r="B84" s="8" t="s">
        <v>16</v>
      </c>
      <c r="C84" s="13">
        <f>+C81+C83</f>
        <v>26784</v>
      </c>
      <c r="D84" s="13">
        <f>+D81+D83</f>
        <v>24538</v>
      </c>
      <c r="E84" s="13">
        <f>+E81+E83</f>
        <v>15100</v>
      </c>
      <c r="F84" s="33">
        <v>65737</v>
      </c>
    </row>
    <row r="85" spans="1:6" x14ac:dyDescent="0.2">
      <c r="B85" s="46" t="s">
        <v>157</v>
      </c>
      <c r="C85" s="48">
        <f>(C84-D84)/D84</f>
        <v>9.1531502159915235E-2</v>
      </c>
      <c r="D85" s="48">
        <f t="shared" ref="D85:E85" si="19">(D84-E84)/E84</f>
        <v>0.62503311258278149</v>
      </c>
      <c r="E85" s="48">
        <f t="shared" si="19"/>
        <v>-0.77029678871868201</v>
      </c>
      <c r="F85" s="33"/>
    </row>
    <row r="86" spans="1:6" x14ac:dyDescent="0.2">
      <c r="B86" t="s">
        <v>17</v>
      </c>
      <c r="C86" s="12">
        <v>19300</v>
      </c>
      <c r="D86" s="12">
        <v>14527</v>
      </c>
      <c r="E86" s="12">
        <v>9680</v>
      </c>
      <c r="F86" s="33">
        <v>10481</v>
      </c>
    </row>
    <row r="87" spans="1:6" ht="16" thickBot="1" x14ac:dyDescent="0.25">
      <c r="B87" s="9" t="s">
        <v>18</v>
      </c>
      <c r="C87" s="14">
        <f>+C84-C86</f>
        <v>7484</v>
      </c>
      <c r="D87" s="14">
        <f>+D84-D86</f>
        <v>10011</v>
      </c>
      <c r="E87" s="14">
        <f>+E84-E86</f>
        <v>5420</v>
      </c>
      <c r="F87" s="35">
        <f>+F84-F86</f>
        <v>55256</v>
      </c>
    </row>
    <row r="88" spans="1:6" ht="16" thickTop="1" x14ac:dyDescent="0.2">
      <c r="B88" s="46" t="s">
        <v>157</v>
      </c>
      <c r="C88" s="48">
        <f>(C87-D87)/D87</f>
        <v>-0.25242233543102588</v>
      </c>
      <c r="D88" s="48">
        <f t="shared" ref="D88:E88" si="20">(D87-E87)/E87</f>
        <v>0.84704797047970481</v>
      </c>
      <c r="E88" s="48">
        <f t="shared" si="20"/>
        <v>-0.90191110467641522</v>
      </c>
    </row>
    <row r="89" spans="1:6" x14ac:dyDescent="0.2">
      <c r="B89" s="1"/>
    </row>
    <row r="90" spans="1:6" x14ac:dyDescent="0.2">
      <c r="B90" s="1"/>
    </row>
    <row r="91" spans="1:6" x14ac:dyDescent="0.2">
      <c r="B91" s="17" t="s">
        <v>92</v>
      </c>
    </row>
    <row r="92" spans="1:6" x14ac:dyDescent="0.2">
      <c r="A92" s="50"/>
      <c r="B92" s="1" t="s">
        <v>146</v>
      </c>
    </row>
    <row r="93" spans="1:6" x14ac:dyDescent="0.2">
      <c r="A93" s="50"/>
      <c r="B93" s="1" t="s">
        <v>89</v>
      </c>
    </row>
    <row r="94" spans="1:6" x14ac:dyDescent="0.2">
      <c r="A94" s="42"/>
      <c r="B94" s="1" t="s">
        <v>90</v>
      </c>
    </row>
    <row r="95" spans="1:6" x14ac:dyDescent="0.2">
      <c r="A95" s="42"/>
      <c r="B95" s="1" t="s">
        <v>14</v>
      </c>
    </row>
    <row r="96" spans="1:6" x14ac:dyDescent="0.2">
      <c r="A96" s="42"/>
      <c r="B96" s="1" t="s">
        <v>93</v>
      </c>
    </row>
    <row r="97" spans="2:6" x14ac:dyDescent="0.2">
      <c r="C97" s="7">
        <v>2022</v>
      </c>
      <c r="D97" s="7">
        <v>2021</v>
      </c>
      <c r="E97" s="7">
        <v>2020</v>
      </c>
      <c r="F97" s="7">
        <v>2019</v>
      </c>
    </row>
    <row r="98" spans="2:6" x14ac:dyDescent="0.2">
      <c r="B98" t="s">
        <v>3</v>
      </c>
      <c r="F98" s="32"/>
    </row>
    <row r="99" spans="2:6" x14ac:dyDescent="0.2">
      <c r="B99" s="1" t="s">
        <v>4</v>
      </c>
      <c r="C99" s="12">
        <v>316199</v>
      </c>
      <c r="D99" s="12">
        <v>297392</v>
      </c>
      <c r="E99" s="12">
        <v>220747</v>
      </c>
      <c r="F99" s="33">
        <v>213883</v>
      </c>
    </row>
    <row r="100" spans="2:6" x14ac:dyDescent="0.2">
      <c r="B100" s="1" t="s">
        <v>5</v>
      </c>
      <c r="C100" s="12">
        <v>78129</v>
      </c>
      <c r="D100" s="12">
        <v>68425</v>
      </c>
      <c r="E100" s="12">
        <v>53768</v>
      </c>
      <c r="F100" s="33">
        <v>46291</v>
      </c>
    </row>
    <row r="101" spans="2:6" x14ac:dyDescent="0.2">
      <c r="B101" s="8" t="s">
        <v>6</v>
      </c>
      <c r="C101" s="13">
        <f>+C99+C100</f>
        <v>394328</v>
      </c>
      <c r="D101" s="13">
        <f t="shared" ref="D101:E101" si="21">+D99+D100</f>
        <v>365817</v>
      </c>
      <c r="E101" s="13">
        <f t="shared" si="21"/>
        <v>274515</v>
      </c>
      <c r="F101" s="33">
        <v>260174</v>
      </c>
    </row>
    <row r="102" spans="2:6" x14ac:dyDescent="0.2">
      <c r="B102" t="s">
        <v>7</v>
      </c>
      <c r="C102" s="12"/>
      <c r="D102" s="12"/>
      <c r="E102" s="12"/>
      <c r="F102" s="32"/>
    </row>
    <row r="103" spans="2:6" x14ac:dyDescent="0.2">
      <c r="B103" s="1" t="s">
        <v>4</v>
      </c>
      <c r="C103" s="12">
        <v>201471</v>
      </c>
      <c r="D103" s="12">
        <v>192266</v>
      </c>
      <c r="E103" s="12">
        <v>151286</v>
      </c>
      <c r="F103" s="33">
        <v>144996</v>
      </c>
    </row>
    <row r="104" spans="2:6" x14ac:dyDescent="0.2">
      <c r="B104" s="49" t="s">
        <v>158</v>
      </c>
      <c r="C104" s="54">
        <f>C103/C101</f>
        <v>0.5109223793390274</v>
      </c>
      <c r="D104" s="54">
        <f t="shared" ref="D104:E104" si="22">D103/D101</f>
        <v>0.5255797297555882</v>
      </c>
      <c r="E104" s="54">
        <f t="shared" si="22"/>
        <v>0.55110285412454696</v>
      </c>
      <c r="F104" s="33"/>
    </row>
    <row r="105" spans="2:6" x14ac:dyDescent="0.2">
      <c r="B105" s="1" t="s">
        <v>5</v>
      </c>
      <c r="C105" s="12">
        <v>22075</v>
      </c>
      <c r="D105" s="12">
        <v>20715</v>
      </c>
      <c r="E105" s="12">
        <v>18273</v>
      </c>
      <c r="F105" s="33">
        <v>16786</v>
      </c>
    </row>
    <row r="106" spans="2:6" x14ac:dyDescent="0.2">
      <c r="B106" s="8" t="s">
        <v>8</v>
      </c>
      <c r="C106" s="13">
        <f>+C103+C105</f>
        <v>223546</v>
      </c>
      <c r="D106" s="13">
        <f>+D103+D105</f>
        <v>212981</v>
      </c>
      <c r="E106" s="13">
        <f>+E103+E105</f>
        <v>169559</v>
      </c>
      <c r="F106" s="33">
        <v>161782</v>
      </c>
    </row>
    <row r="107" spans="2:6" x14ac:dyDescent="0.2">
      <c r="B107" s="8" t="s">
        <v>9</v>
      </c>
      <c r="C107" s="13">
        <f>+C101-C106</f>
        <v>170782</v>
      </c>
      <c r="D107" s="13">
        <f>+D101-D106</f>
        <v>152836</v>
      </c>
      <c r="E107" s="13">
        <f>+E101-E106</f>
        <v>104956</v>
      </c>
      <c r="F107" s="33">
        <v>98392</v>
      </c>
    </row>
    <row r="108" spans="2:6" x14ac:dyDescent="0.2">
      <c r="B108" s="49" t="s">
        <v>158</v>
      </c>
      <c r="C108" s="55">
        <f>C107/C101</f>
        <v>0.43309630561360085</v>
      </c>
      <c r="D108" s="55">
        <f>D107/D101</f>
        <v>0.41779359625167778</v>
      </c>
      <c r="E108" s="55">
        <f>E107/E101</f>
        <v>0.38233247727810865</v>
      </c>
      <c r="F108" s="52"/>
    </row>
    <row r="109" spans="2:6" x14ac:dyDescent="0.2">
      <c r="B109" t="s">
        <v>10</v>
      </c>
      <c r="C109" s="12"/>
      <c r="D109" s="12"/>
      <c r="E109" s="12"/>
      <c r="F109" s="32"/>
    </row>
    <row r="110" spans="2:6" x14ac:dyDescent="0.2">
      <c r="B110" s="1" t="s">
        <v>11</v>
      </c>
      <c r="C110" s="12">
        <v>26251</v>
      </c>
      <c r="D110" s="12">
        <v>21914</v>
      </c>
      <c r="E110" s="12">
        <v>18752</v>
      </c>
      <c r="F110" s="33">
        <v>16217</v>
      </c>
    </row>
    <row r="111" spans="2:6" x14ac:dyDescent="0.2">
      <c r="B111" s="49" t="s">
        <v>158</v>
      </c>
      <c r="C111" s="54">
        <f>C110/C101</f>
        <v>6.657148363798665E-2</v>
      </c>
      <c r="D111" s="54">
        <f t="shared" ref="D111:E111" si="23">D110/D101</f>
        <v>5.9904269074427925E-2</v>
      </c>
      <c r="E111" s="54">
        <f t="shared" si="23"/>
        <v>6.8309564140393061E-2</v>
      </c>
      <c r="F111" s="33"/>
    </row>
    <row r="112" spans="2:6" x14ac:dyDescent="0.2">
      <c r="B112" s="1" t="s">
        <v>12</v>
      </c>
      <c r="C112" s="12">
        <v>25094</v>
      </c>
      <c r="D112" s="12">
        <v>21973</v>
      </c>
      <c r="E112" s="12">
        <v>19916</v>
      </c>
      <c r="F112" s="33">
        <v>18245</v>
      </c>
    </row>
    <row r="113" spans="2:8" x14ac:dyDescent="0.2">
      <c r="B113" s="49" t="s">
        <v>158</v>
      </c>
      <c r="C113" s="54">
        <f>C112/C101</f>
        <v>6.3637378020328261E-2</v>
      </c>
      <c r="D113" s="54">
        <f t="shared" ref="D113:E113" si="24">D112/D101</f>
        <v>6.006555190163388E-2</v>
      </c>
      <c r="E113" s="54">
        <f t="shared" si="24"/>
        <v>7.2549769593646979E-2</v>
      </c>
      <c r="F113" s="33"/>
      <c r="H113" s="53"/>
    </row>
    <row r="114" spans="2:8" x14ac:dyDescent="0.2">
      <c r="B114" s="8" t="s">
        <v>13</v>
      </c>
      <c r="C114" s="13">
        <f>+C110+C112</f>
        <v>51345</v>
      </c>
      <c r="D114" s="13">
        <f>+D110+D112</f>
        <v>43887</v>
      </c>
      <c r="E114" s="13">
        <f>+E110+E112</f>
        <v>38668</v>
      </c>
      <c r="F114" s="33">
        <v>34462</v>
      </c>
    </row>
    <row r="115" spans="2:8" x14ac:dyDescent="0.2">
      <c r="B115" s="49" t="s">
        <v>158</v>
      </c>
      <c r="C115" s="56">
        <f>C114/C101</f>
        <v>0.13020886165831491</v>
      </c>
      <c r="D115" s="56">
        <f t="shared" ref="D115:E115" si="25">D114/D101</f>
        <v>0.11996982097606181</v>
      </c>
      <c r="E115" s="56">
        <f t="shared" si="25"/>
        <v>0.14085933373404003</v>
      </c>
      <c r="F115" s="33"/>
    </row>
    <row r="116" spans="2:8" x14ac:dyDescent="0.2">
      <c r="B116" s="8" t="s">
        <v>14</v>
      </c>
      <c r="C116" s="13">
        <f>+C107-C114</f>
        <v>119437</v>
      </c>
      <c r="D116" s="13">
        <f>+D107-D114</f>
        <v>108949</v>
      </c>
      <c r="E116" s="13">
        <f>+E107-E114</f>
        <v>66288</v>
      </c>
      <c r="F116" s="34">
        <v>63930</v>
      </c>
    </row>
    <row r="117" spans="2:8" x14ac:dyDescent="0.2">
      <c r="B117" s="49" t="s">
        <v>158</v>
      </c>
      <c r="C117" s="55">
        <f>C116/C101</f>
        <v>0.30288744395528594</v>
      </c>
      <c r="D117" s="55">
        <f t="shared" ref="D117:E117" si="26">D116/D101</f>
        <v>0.29782377527561593</v>
      </c>
      <c r="E117" s="55">
        <f t="shared" si="26"/>
        <v>0.24147314354406862</v>
      </c>
      <c r="F117" s="34"/>
    </row>
    <row r="118" spans="2:8" x14ac:dyDescent="0.2">
      <c r="B118" t="s">
        <v>15</v>
      </c>
      <c r="C118" s="12">
        <v>-334</v>
      </c>
      <c r="D118" s="12">
        <v>258</v>
      </c>
      <c r="E118" s="12">
        <v>803</v>
      </c>
      <c r="F118" s="33">
        <v>1807</v>
      </c>
    </row>
    <row r="119" spans="2:8" x14ac:dyDescent="0.2">
      <c r="B119" s="8" t="s">
        <v>16</v>
      </c>
      <c r="C119" s="13">
        <f>+C116+C118</f>
        <v>119103</v>
      </c>
      <c r="D119" s="13">
        <f>+D116+D118</f>
        <v>109207</v>
      </c>
      <c r="E119" s="13">
        <f>+E116+E118</f>
        <v>67091</v>
      </c>
      <c r="F119" s="33">
        <v>65737</v>
      </c>
    </row>
    <row r="120" spans="2:8" x14ac:dyDescent="0.2">
      <c r="B120" t="s">
        <v>17</v>
      </c>
      <c r="C120" s="12">
        <v>19300</v>
      </c>
      <c r="D120" s="12">
        <v>14527</v>
      </c>
      <c r="E120" s="12">
        <v>9680</v>
      </c>
      <c r="F120" s="33">
        <v>10481</v>
      </c>
    </row>
    <row r="121" spans="2:8" ht="16" thickBot="1" x14ac:dyDescent="0.25">
      <c r="B121" s="9" t="s">
        <v>18</v>
      </c>
      <c r="C121" s="14">
        <f>+C119-C120</f>
        <v>99803</v>
      </c>
      <c r="D121" s="14">
        <f t="shared" ref="D121:F121" si="27">+D119-D120</f>
        <v>94680</v>
      </c>
      <c r="E121" s="14">
        <f t="shared" si="27"/>
        <v>57411</v>
      </c>
      <c r="F121" s="35">
        <f t="shared" si="27"/>
        <v>55256</v>
      </c>
    </row>
    <row r="122" spans="2:8" ht="16" thickTop="1" x14ac:dyDescent="0.2">
      <c r="B122" s="49" t="s">
        <v>158</v>
      </c>
      <c r="C122" s="54">
        <f>C121/C101</f>
        <v>0.25309640705199732</v>
      </c>
      <c r="D122" s="54">
        <f t="shared" ref="D122:E122" si="28">D121/D101</f>
        <v>0.25881793355694238</v>
      </c>
      <c r="E122" s="54">
        <f t="shared" si="28"/>
        <v>0.20913611278072236</v>
      </c>
      <c r="F122" s="51"/>
    </row>
    <row r="124" spans="2:8" x14ac:dyDescent="0.2">
      <c r="B124" s="17" t="s">
        <v>98</v>
      </c>
    </row>
    <row r="125" spans="2:8" x14ac:dyDescent="0.2">
      <c r="B125" s="1" t="s">
        <v>94</v>
      </c>
      <c r="C125" s="44">
        <f>'Financial Statements'!B113/'Financial Statements'!B20</f>
        <v>0.1643367505436471</v>
      </c>
      <c r="D125" s="44">
        <f>'Financial Statements'!C113/'Financial Statements'!C20</f>
        <v>0.23244846942045841</v>
      </c>
      <c r="E125" s="44">
        <f>'Financial Statements'!D113/'Financial Statements'!D20</f>
        <v>0.14161362924982487</v>
      </c>
    </row>
    <row r="126" spans="2:8" x14ac:dyDescent="0.2">
      <c r="B126" s="1" t="s">
        <v>95</v>
      </c>
      <c r="C126" s="44">
        <f>('Financial Statements'!B45-'Financial Statements'!C45+'Financial Statements'!B79)/'Financial Statements'!B8</f>
        <v>3.4948063541011543E-2</v>
      </c>
      <c r="D126" s="44">
        <f>('Financial Statements'!C45-'Financial Statements'!D45+'Financial Statements'!C79)/'Financial Statements'!C8</f>
        <v>3.8155689866791319E-2</v>
      </c>
      <c r="E126" s="44">
        <f>('Financial Statements'!D45-'Financial Statements'!E45+'Financial Statements'!D79)/'Financial Statements'!D8</f>
        <v>3.8045279857202706E-2</v>
      </c>
    </row>
    <row r="127" spans="2:8" x14ac:dyDescent="0.2">
      <c r="B127" s="1" t="s">
        <v>96</v>
      </c>
      <c r="C127" s="44">
        <f>('Financial Statements'!B45-'Financial Statements'!C45+'Financial Statements'!B79)/'Financial Statements'!B45</f>
        <v>0.32720754089797471</v>
      </c>
      <c r="D127" s="44">
        <f>('Financial Statements'!C45-'Financial Statements'!D45+'Financial Statements'!C79)/'Financial Statements'!C45</f>
        <v>0.35390466531440162</v>
      </c>
      <c r="E127" s="44">
        <f>('Financial Statements'!D45-'Financial Statements'!E45+'Financial Statements'!D79)/'Financial Statements'!D45</f>
        <v>0.28406680084861013</v>
      </c>
    </row>
    <row r="128" spans="2:8" x14ac:dyDescent="0.2">
      <c r="B128" s="1"/>
    </row>
  </sheetData>
  <mergeCells count="1">
    <mergeCell ref="C2:E2"/>
  </mergeCells>
  <hyperlinks>
    <hyperlink ref="G38" r:id="rId1" xr:uid="{1E72E249-5C4C-C54F-88A2-5A8A8664FEC5}"/>
    <hyperlink ref="G53" r:id="rId2" xr:uid="{D366A376-74E8-4741-A27C-9792A0BE156C}"/>
  </hyperlinks>
  <pageMargins left="0.7" right="0.7" top="0.75" bottom="0.75" header="0.3" footer="0.3"/>
  <pageSetup paperSize="9" orientation="portrait" horizontalDpi="0" verticalDpi="0"/>
  <ignoredErrors>
    <ignoredError sqref="C19:E19 C41: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Xuzhe Li</cp:lastModifiedBy>
  <dcterms:created xsi:type="dcterms:W3CDTF">2020-05-18T16:32:37Z</dcterms:created>
  <dcterms:modified xsi:type="dcterms:W3CDTF">2024-08-13T03:05:04Z</dcterms:modified>
</cp:coreProperties>
</file>