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85228adf12184044/Documents/Quill Training/"/>
    </mc:Choice>
  </mc:AlternateContent>
  <xr:revisionPtr revIDLastSave="709" documentId="8_{5F961453-22E0-438E-95BC-C9D7299B5750}" xr6:coauthVersionLast="47" xr6:coauthVersionMax="47" xr10:uidLastSave="{DC3C7D5E-0C0D-42A8-8E1F-4D1837EB3DEB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" l="1"/>
  <c r="Q10" i="4" s="1"/>
  <c r="C8" i="4"/>
  <c r="D8" i="4"/>
  <c r="D13" i="4" s="1"/>
  <c r="B12" i="4"/>
  <c r="H38" i="4" s="1"/>
  <c r="C12" i="4"/>
  <c r="D12" i="4"/>
  <c r="J38" i="4" s="1"/>
  <c r="B17" i="4"/>
  <c r="C17" i="4"/>
  <c r="I10" i="4" s="1"/>
  <c r="D17" i="4"/>
  <c r="J10" i="4" s="1"/>
  <c r="B33" i="4"/>
  <c r="B73" i="4" s="1"/>
  <c r="C33" i="4"/>
  <c r="C73" i="4" s="1"/>
  <c r="D33" i="4"/>
  <c r="D73" i="4" s="1"/>
  <c r="B42" i="4"/>
  <c r="C42" i="4"/>
  <c r="D42" i="4"/>
  <c r="B47" i="4"/>
  <c r="Q19" i="4" s="1"/>
  <c r="C47" i="4"/>
  <c r="D47" i="4"/>
  <c r="S19" i="4" s="1"/>
  <c r="B56" i="4"/>
  <c r="C56" i="4"/>
  <c r="D56" i="4"/>
  <c r="B61" i="4"/>
  <c r="C61" i="4"/>
  <c r="D61" i="4"/>
  <c r="B68" i="4"/>
  <c r="H45" i="4" s="1"/>
  <c r="H44" i="4" s="1"/>
  <c r="C68" i="4"/>
  <c r="D68" i="4"/>
  <c r="B99" i="4"/>
  <c r="C99" i="4"/>
  <c r="D99" i="4"/>
  <c r="B108" i="4"/>
  <c r="C108" i="4"/>
  <c r="D108" i="4"/>
  <c r="J53" i="4"/>
  <c r="I53" i="4"/>
  <c r="H53" i="4"/>
  <c r="F49" i="4"/>
  <c r="F51" i="4" s="1"/>
  <c r="J47" i="4"/>
  <c r="J48" i="4" s="1"/>
  <c r="I47" i="4"/>
  <c r="I48" i="4" s="1"/>
  <c r="H47" i="4"/>
  <c r="H48" i="4" s="1"/>
  <c r="I38" i="4"/>
  <c r="J33" i="4"/>
  <c r="I33" i="4"/>
  <c r="H33" i="4"/>
  <c r="J32" i="4"/>
  <c r="I32" i="4"/>
  <c r="H32" i="4"/>
  <c r="N31" i="4"/>
  <c r="M31" i="4"/>
  <c r="N28" i="4"/>
  <c r="M28" i="4"/>
  <c r="N27" i="4"/>
  <c r="M27" i="4"/>
  <c r="N26" i="4"/>
  <c r="M26" i="4"/>
  <c r="N25" i="4"/>
  <c r="M25" i="4"/>
  <c r="N23" i="4"/>
  <c r="M23" i="4"/>
  <c r="N22" i="4"/>
  <c r="M22" i="4"/>
  <c r="N21" i="4"/>
  <c r="M21" i="4"/>
  <c r="R19" i="4"/>
  <c r="N19" i="4"/>
  <c r="M19" i="4"/>
  <c r="N18" i="4"/>
  <c r="M18" i="4"/>
  <c r="F18" i="4"/>
  <c r="N17" i="4"/>
  <c r="M17" i="4"/>
  <c r="N16" i="4"/>
  <c r="M16" i="4"/>
  <c r="N15" i="4"/>
  <c r="M15" i="4"/>
  <c r="N12" i="4"/>
  <c r="M12" i="4"/>
  <c r="N11" i="4"/>
  <c r="M11" i="4"/>
  <c r="N7" i="4"/>
  <c r="M7" i="4"/>
  <c r="F7" i="4"/>
  <c r="F8" i="4" s="1"/>
  <c r="F9" i="4" s="1"/>
  <c r="F10" i="4" s="1"/>
  <c r="F11" i="4" s="1"/>
  <c r="F12" i="4" s="1"/>
  <c r="F13" i="4" s="1"/>
  <c r="F14" i="4" s="1"/>
  <c r="F15" i="4" s="1"/>
  <c r="N6" i="4"/>
  <c r="M6" i="4"/>
  <c r="J8" i="4" l="1"/>
  <c r="Q18" i="4"/>
  <c r="H8" i="4"/>
  <c r="C62" i="4"/>
  <c r="C69" i="4" s="1"/>
  <c r="H15" i="4"/>
  <c r="D48" i="4"/>
  <c r="Q7" i="4"/>
  <c r="N13" i="4"/>
  <c r="D18" i="4"/>
  <c r="D20" i="4" s="1"/>
  <c r="D22" i="4" s="1"/>
  <c r="D76" i="4" s="1"/>
  <c r="D91" i="4" s="1"/>
  <c r="D109" i="4" s="1"/>
  <c r="C48" i="4"/>
  <c r="I28" i="4" s="1"/>
  <c r="H7" i="4"/>
  <c r="H9" i="4"/>
  <c r="C13" i="4"/>
  <c r="C18" i="4" s="1"/>
  <c r="C20" i="4" s="1"/>
  <c r="C22" i="4" s="1"/>
  <c r="C76" i="4" s="1"/>
  <c r="C91" i="4" s="1"/>
  <c r="C109" i="4" s="1"/>
  <c r="J9" i="4"/>
  <c r="I9" i="4"/>
  <c r="J16" i="4"/>
  <c r="H10" i="4"/>
  <c r="B48" i="4"/>
  <c r="H36" i="4" s="1"/>
  <c r="B13" i="4"/>
  <c r="H19" i="4" s="1"/>
  <c r="M13" i="4"/>
  <c r="D62" i="4"/>
  <c r="D69" i="4" s="1"/>
  <c r="B62" i="4"/>
  <c r="B69" i="4" s="1"/>
  <c r="R9" i="4"/>
  <c r="I13" i="4"/>
  <c r="R18" i="4"/>
  <c r="J37" i="4"/>
  <c r="S9" i="4"/>
  <c r="J13" i="4"/>
  <c r="J36" i="4"/>
  <c r="S18" i="4"/>
  <c r="I8" i="4"/>
  <c r="I7" i="4"/>
  <c r="I15" i="4"/>
  <c r="F26" i="4"/>
  <c r="F19" i="4"/>
  <c r="F20" i="4" s="1"/>
  <c r="F22" i="4" s="1"/>
  <c r="F24" i="4" s="1"/>
  <c r="R10" i="4"/>
  <c r="I16" i="4"/>
  <c r="S10" i="4"/>
  <c r="I37" i="4"/>
  <c r="H16" i="4"/>
  <c r="I27" i="4"/>
  <c r="H12" i="4"/>
  <c r="H11" i="4"/>
  <c r="I45" i="4"/>
  <c r="I44" i="4" s="1"/>
  <c r="J28" i="4"/>
  <c r="J29" i="4"/>
  <c r="J27" i="4"/>
  <c r="R7" i="4"/>
  <c r="I12" i="4"/>
  <c r="I11" i="4"/>
  <c r="J45" i="4"/>
  <c r="J44" i="4" s="1"/>
  <c r="H37" i="4"/>
  <c r="N8" i="4"/>
  <c r="M8" i="4"/>
  <c r="Q9" i="4"/>
  <c r="H13" i="4"/>
  <c r="S7" i="4"/>
  <c r="J12" i="4"/>
  <c r="J11" i="4"/>
  <c r="J15" i="4"/>
  <c r="J7" i="4"/>
  <c r="I36" i="4" l="1"/>
  <c r="I29" i="4"/>
  <c r="M9" i="4"/>
  <c r="N9" i="4"/>
  <c r="B18" i="4"/>
  <c r="Q8" i="4"/>
  <c r="H14" i="4"/>
  <c r="J14" i="4"/>
  <c r="I14" i="4"/>
  <c r="H28" i="4"/>
  <c r="H27" i="4"/>
  <c r="H29" i="4"/>
  <c r="F27" i="4"/>
  <c r="F28" i="4" s="1"/>
  <c r="F29" i="4" s="1"/>
  <c r="F30" i="4" s="1"/>
  <c r="F31" i="4" s="1"/>
  <c r="F32" i="4" s="1"/>
  <c r="F35" i="4"/>
  <c r="S8" i="4"/>
  <c r="J19" i="4"/>
  <c r="I19" i="4"/>
  <c r="R8" i="4"/>
  <c r="D108" i="1"/>
  <c r="C108" i="1"/>
  <c r="B108" i="1"/>
  <c r="D99" i="1"/>
  <c r="C99" i="1"/>
  <c r="B99" i="1"/>
  <c r="B20" i="4" l="1"/>
  <c r="H21" i="4"/>
  <c r="H52" i="4" s="1"/>
  <c r="H30" i="4"/>
  <c r="Q11" i="4"/>
  <c r="H31" i="4"/>
  <c r="H22" i="4"/>
  <c r="H20" i="4"/>
  <c r="H50" i="4"/>
  <c r="H23" i="4"/>
  <c r="J23" i="4"/>
  <c r="S11" i="4"/>
  <c r="J22" i="4"/>
  <c r="J31" i="4"/>
  <c r="J30" i="4"/>
  <c r="J50" i="4"/>
  <c r="J21" i="4"/>
  <c r="J52" i="4" s="1"/>
  <c r="J20" i="4"/>
  <c r="F41" i="4"/>
  <c r="F42" i="4" s="1"/>
  <c r="F43" i="4" s="1"/>
  <c r="F44" i="4" s="1"/>
  <c r="F45" i="4" s="1"/>
  <c r="F46" i="4" s="1"/>
  <c r="F48" i="4" s="1"/>
  <c r="F50" i="4" s="1"/>
  <c r="F52" i="4" s="1"/>
  <c r="F36" i="4"/>
  <c r="F37" i="4" s="1"/>
  <c r="F38" i="4" s="1"/>
  <c r="F39" i="4" s="1"/>
  <c r="I21" i="4"/>
  <c r="I52" i="4" s="1"/>
  <c r="R11" i="4"/>
  <c r="I30" i="4"/>
  <c r="I22" i="4"/>
  <c r="I20" i="4"/>
  <c r="I23" i="4"/>
  <c r="I31" i="4"/>
  <c r="I50" i="4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D33" i="1"/>
  <c r="D73" i="1" s="1"/>
  <c r="C33" i="1"/>
  <c r="C73" i="1" s="1"/>
  <c r="B33" i="1"/>
  <c r="B73" i="1" s="1"/>
  <c r="B22" i="4" l="1"/>
  <c r="Q17" i="4"/>
  <c r="S17" i="4"/>
  <c r="R17" i="4"/>
  <c r="D13" i="1"/>
  <c r="C62" i="1"/>
  <c r="B48" i="1"/>
  <c r="B62" i="1"/>
  <c r="B69" i="1" s="1"/>
  <c r="B13" i="1"/>
  <c r="C13" i="1"/>
  <c r="B18" i="1"/>
  <c r="C48" i="1"/>
  <c r="D62" i="1"/>
  <c r="C69" i="1"/>
  <c r="D48" i="1"/>
  <c r="B76" i="4" l="1"/>
  <c r="B91" i="4" s="1"/>
  <c r="B109" i="4" s="1"/>
  <c r="H49" i="4"/>
  <c r="H24" i="4"/>
  <c r="H51" i="4"/>
  <c r="H43" i="4"/>
  <c r="H39" i="4"/>
  <c r="Q12" i="4"/>
  <c r="R12" i="4"/>
  <c r="I49" i="4"/>
  <c r="I24" i="4"/>
  <c r="I51" i="4"/>
  <c r="I43" i="4"/>
  <c r="I39" i="4"/>
  <c r="J49" i="4"/>
  <c r="J24" i="4"/>
  <c r="J51" i="4"/>
  <c r="J43" i="4"/>
  <c r="J39" i="4"/>
  <c r="S12" i="4"/>
  <c r="D69" i="1"/>
  <c r="D18" i="1"/>
  <c r="B20" i="1"/>
  <c r="B22" i="1" s="1"/>
  <c r="C18" i="1"/>
  <c r="H42" i="4" l="1"/>
  <c r="H46" i="4"/>
  <c r="J46" i="4"/>
  <c r="J42" i="4"/>
  <c r="I46" i="4"/>
  <c r="I42" i="4"/>
  <c r="C20" i="1"/>
  <c r="C22" i="1" s="1"/>
  <c r="D20" i="1"/>
  <c r="D22" i="1" s="1"/>
  <c r="B76" i="1"/>
  <c r="B91" i="1" s="1"/>
  <c r="B109" i="1" s="1"/>
  <c r="D76" i="1" l="1"/>
  <c r="D91" i="1" s="1"/>
  <c r="D109" i="1" s="1"/>
  <c r="C76" i="1"/>
  <c r="C91" i="1" s="1"/>
  <c r="C109" i="1" s="1"/>
</calcChain>
</file>

<file path=xl/sharedStrings.xml><?xml version="1.0" encoding="utf-8"?>
<sst xmlns="http://schemas.openxmlformats.org/spreadsheetml/2006/main" count="314" uniqueCount="168">
  <si>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</si>
  <si>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</si>
  <si>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</si>
  <si>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</si>
  <si>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</si>
  <si>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</si>
  <si>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</si>
  <si>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</si>
  <si>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</si>
  <si>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</si>
  <si>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</si>
  <si>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</si>
  <si>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</si>
  <si>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</si>
  <si>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</si>
  <si>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</si>
  <si>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</si>
  <si>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</si>
  <si>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</si>
  <si>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</si>
  <si>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</si>
  <si>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</si>
  <si>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</si>
  <si>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</si>
  <si>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</si>
  <si>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</si>
  <si>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</si>
  <si>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</si>
  <si>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</si>
  <si>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</si>
  <si>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</si>
  <si>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</si>
  <si>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</si>
  <si>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</si>
  <si>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</si>
  <si>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</si>
  <si>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</si>
  <si>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</si>
  <si>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</si>
  <si>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</si>
  <si>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</si>
  <si>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</si>
  <si>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</si>
  <si>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</si>
  <si>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</si>
  <si>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</si>
  <si>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</si>
  <si>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</si>
  <si>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</si>
  <si>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</si>
  <si>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</si>
  <si>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</si>
  <si>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</si>
  <si>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</si>
  <si>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</si>
  <si>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</si>
  <si>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</si>
  <si>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</si>
  <si>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</si>
  <si>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</si>
  <si>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</si>
  <si>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</si>
  <si>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</si>
  <si>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</si>
  <si>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</si>
  <si>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</si>
  <si>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</si>
  <si>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</si>
  <si>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</si>
  <si>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</si>
  <si>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</si>
  <si>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</si>
  <si>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</si>
  <si>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</si>
  <si>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</si>
  <si>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</si>
  <si>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</si>
  <si>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</si>
  <si>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</si>
  <si>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</si>
  <si>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</si>
  <si>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</si>
  <si>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</si>
  <si>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</si>
  <si>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</si>
  <si>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</si>
  <si>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</si>
  <si>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</si>
  <si>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</si>
  <si>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</si>
  <si>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</si>
  <si>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</si>
  <si>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</si>
  <si>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</si>
  <si>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</si>
  <si>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</si>
  <si>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</si>
  <si>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</si>
  <si>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</si>
  <si>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</si>
  <si>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</si>
  <si>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</si>
  <si>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</si>
  <si>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</si>
  <si>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</si>
  <si>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</si>
  <si>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</si>
  <si>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</si>
  <si>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</si>
  <si>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</si>
  <si>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</si>
  <si>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</si>
  <si>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</si>
  <si>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</si>
  <si>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</si>
  <si>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</si>
  <si>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</si>
  <si>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</si>
  <si>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</si>
  <si>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</si>
  <si>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</si>
  <si>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</si>
  <si>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</si>
  <si>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</si>
  <si>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</si>
  <si>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</si>
  <si>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</si>
  <si>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</si>
  <si>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</si>
  <si>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</si>
  <si>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</si>
  <si>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</si>
  <si>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</si>
  <si>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</si>
  <si>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</si>
  <si>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</si>
  <si>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</si>
  <si>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</si>
  <si>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</si>
  <si>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</si>
  <si>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</si>
  <si>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</si>
  <si>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</si>
  <si>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</si>
  <si>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</si>
  <si>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</si>
  <si>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</si>
  <si>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</si>
  <si>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</si>
  <si>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Total operating expenses </t>
  </si>
  <si>
    <t>Operating income (EBIT)</t>
  </si>
  <si>
    <t>Market price per share (End of fiscal year)</t>
  </si>
  <si>
    <t>Net Sales</t>
  </si>
  <si>
    <t>Gross Profit</t>
  </si>
  <si>
    <t>R&amp;D</t>
  </si>
  <si>
    <t>SG&amp;A</t>
  </si>
  <si>
    <t>Operating Expenses</t>
  </si>
  <si>
    <t>CAGR</t>
  </si>
  <si>
    <t>Marketable securities (Short-term)</t>
  </si>
  <si>
    <t>Marketable securities (Long-term)</t>
  </si>
  <si>
    <t xml:space="preserve">Expected Growth Rates </t>
  </si>
  <si>
    <t>YoY</t>
  </si>
  <si>
    <t>Deferred revenue (Short-term)</t>
  </si>
  <si>
    <t>Deferred revenue (Long-term)</t>
  </si>
  <si>
    <t xml:space="preserve">Operating income </t>
  </si>
  <si>
    <t xml:space="preserve">COGS </t>
  </si>
  <si>
    <t>Additional Items 2022</t>
  </si>
  <si>
    <t xml:space="preserve">Margins as a Percentage of Net Sales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</si>
</sst>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  <numFmt numFmtId="167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166" fontId="0" fillId="0" borderId="0" xfId="0" applyNumberFormat="1"/>
    <xf numFmtId="164" fontId="0" fillId="0" borderId="0" xfId="0" applyNumberFormat="1"/>
    <xf numFmtId="1" fontId="0" fillId="0" borderId="0" xfId="0" applyNumberFormat="1"/>
    <xf numFmtId="10" fontId="0" fillId="0" borderId="0" xfId="4" applyNumberFormat="1" applyFont="1"/>
    <xf numFmtId="167" fontId="0" fillId="0" borderId="0" xfId="0" applyNumberFormat="1"/>
    <xf numFmtId="44" fontId="0" fillId="0" borderId="0" xfId="3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4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0" applyNumberFormat="1" applyAlignment="1"/>
    <xf numFmtId="164" fontId="0" fillId="0" borderId="0" xfId="1" applyNumberFormat="1" applyFont="1" applyAlignment="1">
      <alignment horizontal="right"/>
    </xf>
    <xf numFmtId="10" fontId="0" fillId="0" borderId="0" xfId="4" applyNumberFormat="1" applyFont="1" applyAlignment="1">
      <alignment horizontal="center"/>
    </xf>
    <xf numFmtId="166" fontId="0" fillId="0" borderId="0" xfId="0" applyNumberFormat="1" applyFill="1"/>
    <xf numFmtId="167" fontId="0" fillId="0" borderId="0" xfId="1" applyNumberFormat="1" applyFont="1" applyFill="1"/>
    <xf numFmtId="167" fontId="0" fillId="0" borderId="0" xfId="0" applyNumberFormat="1" applyFill="1" applyAlignment="1"/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zoomScale="80" zoomScaleNormal="80" workbookViewId="0">
      <selection activeCell="A17" sqref="A1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86</v>
      </c>
    </row>
    <row r="3" spans="1:1" x14ac:dyDescent="0.3">
      <c r="A3" s="7" t="s">
        <v>140</v>
      </c>
    </row>
    <row r="4" spans="1:1" x14ac:dyDescent="0.3">
      <c r="A4" s="16" t="s">
        <v>87</v>
      </c>
    </row>
    <row r="5" spans="1:1" x14ac:dyDescent="0.3">
      <c r="A5" s="7" t="s">
        <v>96</v>
      </c>
    </row>
    <row r="6" spans="1:1" x14ac:dyDescent="0.3">
      <c r="A6" s="1" t="s">
        <v>147</v>
      </c>
    </row>
    <row r="7" spans="1:1" x14ac:dyDescent="0.3">
      <c r="A7" s="1"/>
    </row>
    <row r="8" spans="1:1" x14ac:dyDescent="0.3">
      <c r="A8" s="17" t="s">
        <v>148</v>
      </c>
    </row>
    <row r="9" spans="1:1" x14ac:dyDescent="0.3">
      <c r="A9" s="1" t="s">
        <v>144</v>
      </c>
    </row>
    <row r="10" spans="1:1" x14ac:dyDescent="0.3">
      <c r="A10" s="1" t="s">
        <v>88</v>
      </c>
    </row>
    <row r="11" spans="1:1" x14ac:dyDescent="0.3">
      <c r="A11" s="1" t="s">
        <v>89</v>
      </c>
    </row>
    <row r="12" spans="1:1" x14ac:dyDescent="0.3">
      <c r="A12" s="1" t="s">
        <v>90</v>
      </c>
    </row>
    <row r="13" spans="1:1" x14ac:dyDescent="0.3">
      <c r="A13" s="1"/>
    </row>
    <row r="14" spans="1:1" x14ac:dyDescent="0.3">
      <c r="A14" s="17" t="s">
        <v>91</v>
      </c>
    </row>
    <row r="15" spans="1:1" x14ac:dyDescent="0.3">
      <c r="A15" s="1" t="s">
        <v>145</v>
      </c>
    </row>
    <row r="16" spans="1:1" x14ac:dyDescent="0.3">
      <c r="A16" s="1" t="s">
        <v>88</v>
      </c>
    </row>
    <row r="17" spans="1:1" x14ac:dyDescent="0.3">
      <c r="A17" s="1" t="s">
        <v>89</v>
      </c>
    </row>
    <row r="18" spans="1:1" x14ac:dyDescent="0.3">
      <c r="A18" s="1" t="s">
        <v>13</v>
      </c>
    </row>
    <row r="19" spans="1:1" x14ac:dyDescent="0.3">
      <c r="A19" s="1" t="s">
        <v>92</v>
      </c>
    </row>
    <row r="20" spans="1:1" x14ac:dyDescent="0.3">
      <c r="A20" s="1"/>
    </row>
    <row r="21" spans="1:1" x14ac:dyDescent="0.3">
      <c r="A21" s="17" t="s">
        <v>97</v>
      </c>
    </row>
    <row r="22" spans="1:1" x14ac:dyDescent="0.3">
      <c r="A22" s="1" t="s">
        <v>93</v>
      </c>
    </row>
    <row r="23" spans="1:1" x14ac:dyDescent="0.3">
      <c r="A23" s="1" t="s">
        <v>94</v>
      </c>
    </row>
    <row r="24" spans="1:1" x14ac:dyDescent="0.3">
      <c r="A24" s="1" t="s">
        <v>95</v>
      </c>
    </row>
    <row r="25" spans="1:1" x14ac:dyDescent="0.3">
      <c r="A25" s="1"/>
    </row>
    <row r="26" spans="1:1" x14ac:dyDescent="0.3">
      <c r="A26" s="17" t="s">
        <v>143</v>
      </c>
    </row>
    <row r="27" spans="1:1" x14ac:dyDescent="0.3">
      <c r="A27" s="16" t="s">
        <v>142</v>
      </c>
    </row>
    <row r="29" spans="1:1" x14ac:dyDescent="0.3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zoomScale="80" zoomScaleNormal="80" workbookViewId="0">
      <selection activeCell="G17" sqref="G17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7" max="7" width="37.109375" bestFit="1" customWidth="1"/>
    <col min="8" max="10" width="13.6640625" bestFit="1" customWidth="1"/>
    <col min="12" max="12" width="33.5546875" bestFit="1" customWidth="1"/>
    <col min="13" max="13" width="9" bestFit="1" customWidth="1"/>
    <col min="14" max="14" width="12.21875" bestFit="1" customWidth="1"/>
    <col min="16" max="16" width="37.6640625" bestFit="1" customWidth="1"/>
    <col min="17" max="17" width="9.88671875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1" t="s">
        <v>1</v>
      </c>
      <c r="B2" s="31"/>
      <c r="C2" s="31"/>
      <c r="D2" s="31"/>
    </row>
    <row r="3" spans="1:10" x14ac:dyDescent="0.3">
      <c r="B3" s="30" t="s">
        <v>22</v>
      </c>
      <c r="C3" s="30"/>
      <c r="D3" s="30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149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164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14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15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16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17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18</v>
      </c>
    </row>
    <row r="24" spans="1:4" x14ac:dyDescent="0.3">
      <c r="A24" s="1" t="s">
        <v>19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20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21</v>
      </c>
    </row>
    <row r="27" spans="1:4" x14ac:dyDescent="0.3">
      <c r="A27" s="1" t="s">
        <v>19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20</v>
      </c>
      <c r="B28" s="2">
        <v>16325819</v>
      </c>
      <c r="C28" s="2">
        <v>16864919</v>
      </c>
      <c r="D28" s="2">
        <v>17528214</v>
      </c>
    </row>
    <row r="31" spans="1:4" x14ac:dyDescent="0.3">
      <c r="A31" s="31" t="s">
        <v>23</v>
      </c>
      <c r="B31" s="31"/>
      <c r="C31" s="31"/>
      <c r="D31" s="31"/>
    </row>
    <row r="32" spans="1:4" x14ac:dyDescent="0.3">
      <c r="B32" s="30" t="s">
        <v>141</v>
      </c>
      <c r="C32" s="30"/>
      <c r="D32" s="30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24</v>
      </c>
    </row>
    <row r="36" spans="1:4" x14ac:dyDescent="0.3">
      <c r="A36" s="1" t="s">
        <v>25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26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27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28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46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29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30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47</v>
      </c>
      <c r="B43" s="12"/>
      <c r="C43" s="12"/>
      <c r="D43" s="12"/>
    </row>
    <row r="44" spans="1:4" x14ac:dyDescent="0.3">
      <c r="A44" s="1" t="s">
        <v>26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31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48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49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32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33</v>
      </c>
    </row>
    <row r="51" spans="1:4" x14ac:dyDescent="0.3">
      <c r="A51" s="1" t="s">
        <v>34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35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36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37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38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39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50</v>
      </c>
      <c r="B57" s="12"/>
      <c r="C57" s="12"/>
      <c r="D57" s="12"/>
    </row>
    <row r="58" spans="1:4" x14ac:dyDescent="0.3">
      <c r="A58" s="1" t="s">
        <v>36</v>
      </c>
      <c r="B58" s="12"/>
      <c r="C58" s="12"/>
      <c r="D58" s="12"/>
    </row>
    <row r="59" spans="1:4" x14ac:dyDescent="0.3">
      <c r="A59" s="1" t="s">
        <v>38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51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52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40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41</v>
      </c>
      <c r="B64" s="12"/>
      <c r="C64" s="12"/>
      <c r="D64" s="12"/>
    </row>
    <row r="65" spans="1:4" x14ac:dyDescent="0.3">
      <c r="A65" s="1" t="s">
        <v>53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42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43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45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1" t="s">
        <v>54</v>
      </c>
      <c r="B71" s="31"/>
      <c r="C71" s="31"/>
      <c r="D71" s="31"/>
    </row>
    <row r="72" spans="1:4" x14ac:dyDescent="0.3">
      <c r="B72" s="30" t="s">
        <v>22</v>
      </c>
      <c r="C72" s="30"/>
      <c r="D72" s="30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55</v>
      </c>
      <c r="B75" s="15"/>
      <c r="C75" s="15"/>
      <c r="D75" s="15"/>
    </row>
    <row r="76" spans="1:4" x14ac:dyDescent="0.3">
      <c r="A76" t="s">
        <v>56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17</v>
      </c>
      <c r="B77" s="15"/>
      <c r="C77" s="15"/>
      <c r="D77" s="15"/>
    </row>
    <row r="78" spans="1:4" x14ac:dyDescent="0.3">
      <c r="A78" s="1" t="s">
        <v>57</v>
      </c>
      <c r="B78" s="12"/>
      <c r="C78" s="12"/>
      <c r="D78" s="12"/>
    </row>
    <row r="79" spans="1:4" x14ac:dyDescent="0.3">
      <c r="A79" s="3" t="s">
        <v>58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82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59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60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61</v>
      </c>
      <c r="B83" s="12"/>
      <c r="C83" s="12"/>
      <c r="D83" s="12"/>
    </row>
    <row r="84" spans="1:4" x14ac:dyDescent="0.3">
      <c r="A84" s="1" t="s">
        <v>27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28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46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83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34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36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84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62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63</v>
      </c>
      <c r="B92" s="12"/>
      <c r="C92" s="12"/>
      <c r="D92" s="12"/>
    </row>
    <row r="93" spans="1:4" x14ac:dyDescent="0.3">
      <c r="A93" s="1" t="s">
        <v>64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65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66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67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68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60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69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70</v>
      </c>
      <c r="B100" s="12"/>
      <c r="C100" s="12"/>
      <c r="D100" s="12"/>
    </row>
    <row r="101" spans="1:4" x14ac:dyDescent="0.3">
      <c r="A101" s="1" t="s">
        <v>85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71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72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73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74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75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60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76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77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78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79</v>
      </c>
      <c r="B112" s="12"/>
      <c r="C112" s="12"/>
      <c r="D112" s="12"/>
    </row>
    <row r="113" spans="1:4" x14ac:dyDescent="0.3">
      <c r="A113" t="s">
        <v>80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81</v>
      </c>
      <c r="B114" s="12">
        <v>2865</v>
      </c>
      <c r="C114" s="12">
        <v>2687</v>
      </c>
      <c r="D114" s="12">
        <v>3002</v>
      </c>
    </row>
    <row r="116" spans="1:4" x14ac:dyDescent="0.3">
      <c r="B116" s="32">
        <v>44098</v>
      </c>
      <c r="C116" s="32">
        <v>44463</v>
      </c>
      <c r="D116" s="32">
        <v>44828</v>
      </c>
    </row>
    <row r="117" spans="1:4" x14ac:dyDescent="0.3">
      <c r="A117" s="7" t="s">
        <v>151</v>
      </c>
      <c r="B117" s="29">
        <v>108.22</v>
      </c>
      <c r="C117" s="29">
        <v>146.91999999999999</v>
      </c>
      <c r="D117" s="29">
        <v>150.43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53AB-4763-4290-B5FD-661DAC797649}">
  <dimension ref="A1:S117"/>
  <sheetViews>
    <sheetView tabSelected="1" topLeftCell="F1" zoomScale="80" zoomScaleNormal="80" workbookViewId="0">
      <selection activeCell="M6" sqref="M6"/>
    </sheetView>
  </sheetViews>
  <sheetFormatPr defaultRowHeight="14.4" x14ac:dyDescent="0.3"/>
  <cols>
    <col min="1" max="1" width="59" hidden="1" customWidth="1"/>
    <col min="2" max="3" width="11.5546875" hidden="1" customWidth="1"/>
    <col min="4" max="4" width="11.6640625" hidden="1" customWidth="1"/>
    <col min="5" max="5" width="8.88671875" hidden="1" customWidth="1"/>
    <col min="6" max="6" width="4.5546875" customWidth="1"/>
    <col min="7" max="7" width="37.109375" bestFit="1" customWidth="1"/>
    <col min="8" max="10" width="13.6640625" bestFit="1" customWidth="1"/>
    <col min="12" max="12" width="33.5546875" bestFit="1" customWidth="1"/>
    <col min="13" max="13" width="9" bestFit="1" customWidth="1"/>
    <col min="14" max="14" width="12.21875" bestFit="1" customWidth="1"/>
    <col min="16" max="16" width="37.6640625" bestFit="1" customWidth="1"/>
    <col min="17" max="17" width="9.88671875" customWidth="1"/>
  </cols>
  <sheetData>
    <row r="1" spans="1:19" ht="60" customHeight="1" x14ac:dyDescent="0.5">
      <c r="A1" s="6" t="s">
        <v>0</v>
      </c>
      <c r="B1" s="4" t="s">
        <v>2</v>
      </c>
      <c r="C1" s="4"/>
      <c r="D1" s="4"/>
      <c r="E1" s="6"/>
      <c r="F1" s="20" t="s">
        <v>0</v>
      </c>
      <c r="G1" s="19"/>
      <c r="H1" s="19"/>
      <c r="I1" s="19"/>
      <c r="J1" s="19"/>
      <c r="K1" s="19"/>
    </row>
    <row r="2" spans="1:19" x14ac:dyDescent="0.3">
      <c r="A2" s="31" t="s">
        <v>1</v>
      </c>
      <c r="B2" s="31"/>
      <c r="C2" s="31"/>
      <c r="D2" s="31"/>
    </row>
    <row r="3" spans="1:19" x14ac:dyDescent="0.3">
      <c r="B3" s="30" t="s">
        <v>22</v>
      </c>
      <c r="C3" s="30"/>
      <c r="D3" s="30"/>
    </row>
    <row r="4" spans="1:19" x14ac:dyDescent="0.3">
      <c r="B4" s="7">
        <v>2022</v>
      </c>
      <c r="C4" s="7">
        <v>2021</v>
      </c>
      <c r="D4" s="7">
        <v>2020</v>
      </c>
      <c r="H4" s="30" t="s">
        <v>22</v>
      </c>
      <c r="I4" s="30"/>
      <c r="J4" s="30"/>
      <c r="L4" s="30" t="s">
        <v>160</v>
      </c>
      <c r="M4" s="30"/>
      <c r="N4" s="30"/>
      <c r="O4" s="37"/>
      <c r="P4" s="30" t="s">
        <v>167</v>
      </c>
      <c r="Q4" s="30"/>
      <c r="R4" s="30"/>
      <c r="S4" s="30"/>
    </row>
    <row r="5" spans="1:19" x14ac:dyDescent="0.3">
      <c r="A5" t="s">
        <v>3</v>
      </c>
      <c r="H5" s="7">
        <v>2022</v>
      </c>
      <c r="I5" s="7">
        <v>2021</v>
      </c>
      <c r="J5" s="7">
        <v>2020</v>
      </c>
      <c r="M5" s="23" t="s">
        <v>161</v>
      </c>
      <c r="N5" s="23" t="s">
        <v>157</v>
      </c>
    </row>
    <row r="6" spans="1:19" x14ac:dyDescent="0.3">
      <c r="A6" s="1" t="s">
        <v>4</v>
      </c>
      <c r="B6" s="12">
        <v>316199</v>
      </c>
      <c r="C6" s="12">
        <v>297392</v>
      </c>
      <c r="D6" s="12">
        <v>220747</v>
      </c>
      <c r="F6" s="18">
        <v>1</v>
      </c>
      <c r="G6" s="7" t="s">
        <v>98</v>
      </c>
      <c r="L6" t="s">
        <v>4</v>
      </c>
      <c r="M6" s="42">
        <f>(B6-C6)/C6</f>
        <v>6.3239764351428418E-2</v>
      </c>
      <c r="N6" s="42">
        <f>((B6/D6)^(1/3))-1</f>
        <v>0.12725428276910122</v>
      </c>
      <c r="Q6" s="23">
        <v>2022</v>
      </c>
      <c r="R6" s="23">
        <v>2021</v>
      </c>
      <c r="S6" s="23">
        <v>2020</v>
      </c>
    </row>
    <row r="7" spans="1:19" x14ac:dyDescent="0.3">
      <c r="A7" s="1" t="s">
        <v>5</v>
      </c>
      <c r="B7" s="12">
        <v>78129</v>
      </c>
      <c r="C7" s="12">
        <v>68425</v>
      </c>
      <c r="D7" s="12">
        <v>53768</v>
      </c>
      <c r="F7" s="18">
        <f>+F6+0.1</f>
        <v>1.1000000000000001</v>
      </c>
      <c r="G7" s="1" t="s">
        <v>99</v>
      </c>
      <c r="H7" s="24">
        <f>B42/B56</f>
        <v>0.87935602862672257</v>
      </c>
      <c r="I7" s="24">
        <f>C42/C56</f>
        <v>1.0745531195957954</v>
      </c>
      <c r="J7" s="24">
        <f>D42/D56</f>
        <v>1.3636044481554577</v>
      </c>
      <c r="L7" t="s">
        <v>5</v>
      </c>
      <c r="M7" s="42">
        <f>(B7-C7)/C7</f>
        <v>0.14181951041286078</v>
      </c>
      <c r="N7" s="42">
        <f>((B7/D7)^(1/3))-1</f>
        <v>0.13265103912077181</v>
      </c>
      <c r="P7" s="1" t="s">
        <v>165</v>
      </c>
      <c r="Q7" s="42">
        <f>B12/B8</f>
        <v>0.56690369438639909</v>
      </c>
      <c r="R7" s="42">
        <f>C12/C8</f>
        <v>0.58220640374832222</v>
      </c>
      <c r="S7" s="42">
        <f>D12/D8</f>
        <v>0.61766752272189129</v>
      </c>
    </row>
    <row r="8" spans="1:19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F8" s="18">
        <f t="shared" ref="F8:F15" si="1">+F7+0.1</f>
        <v>1.2000000000000002</v>
      </c>
      <c r="G8" s="1" t="s">
        <v>100</v>
      </c>
      <c r="H8" s="24">
        <f>(B42-B39)/B56</f>
        <v>0.84723539114961488</v>
      </c>
      <c r="I8" s="24">
        <f>(C42-C39)/C56</f>
        <v>1.0221149018576519</v>
      </c>
      <c r="J8" s="24">
        <f>(D42-D39)/D56</f>
        <v>1.325072111735236</v>
      </c>
      <c r="L8" t="s">
        <v>152</v>
      </c>
      <c r="M8" s="42">
        <f>(B8-C8)/C8</f>
        <v>7.7937876041846058E-2</v>
      </c>
      <c r="N8" s="42">
        <f>((B8/D8)^(1/3))-1</f>
        <v>0.12831539031632122</v>
      </c>
      <c r="P8" s="1" t="s">
        <v>88</v>
      </c>
      <c r="Q8" s="42">
        <f>B13/B8</f>
        <v>0.43309630561360085</v>
      </c>
      <c r="R8" s="42">
        <f>C13/C8</f>
        <v>0.41779359625167778</v>
      </c>
      <c r="S8" s="42">
        <f>D13/D8</f>
        <v>0.38233247727810865</v>
      </c>
    </row>
    <row r="9" spans="1:19" x14ac:dyDescent="0.3">
      <c r="A9" t="s">
        <v>7</v>
      </c>
      <c r="B9" s="12"/>
      <c r="C9" s="12"/>
      <c r="D9" s="12"/>
      <c r="F9" s="18">
        <f t="shared" si="1"/>
        <v>1.3000000000000003</v>
      </c>
      <c r="G9" s="1" t="s">
        <v>101</v>
      </c>
      <c r="H9" s="24">
        <f>B36/B56</f>
        <v>0.15356340351469652</v>
      </c>
      <c r="I9" s="24">
        <f>C36/C56</f>
        <v>0.27844853005634318</v>
      </c>
      <c r="J9" s="24">
        <f>D36/D56</f>
        <v>0.36071049035979963</v>
      </c>
      <c r="L9" t="s">
        <v>153</v>
      </c>
      <c r="M9" s="42">
        <f>(B13-C13)/C13</f>
        <v>0.11741997958596143</v>
      </c>
      <c r="N9" s="42">
        <f>((B13/D13)^(1/3))-1</f>
        <v>0.17619214518205273</v>
      </c>
      <c r="P9" s="1" t="s">
        <v>154</v>
      </c>
      <c r="Q9" s="42">
        <f>B15/B8</f>
        <v>6.657148363798665E-2</v>
      </c>
      <c r="R9" s="42">
        <f>C15/C8</f>
        <v>5.9904269074427925E-2</v>
      </c>
      <c r="S9" s="42">
        <f>D15/D8</f>
        <v>6.8309564140393061E-2</v>
      </c>
    </row>
    <row r="10" spans="1:19" x14ac:dyDescent="0.3">
      <c r="A10" s="1" t="s">
        <v>4</v>
      </c>
      <c r="B10" s="12">
        <v>201471</v>
      </c>
      <c r="C10" s="12">
        <v>192266</v>
      </c>
      <c r="D10" s="12">
        <v>151286</v>
      </c>
      <c r="F10" s="18">
        <f t="shared" si="1"/>
        <v>1.4000000000000004</v>
      </c>
      <c r="G10" s="1" t="s">
        <v>102</v>
      </c>
      <c r="H10" s="25">
        <f>(B36+B37+B38)/((B17+B19)/365)</f>
        <v>547.29607339593417</v>
      </c>
      <c r="I10" s="25">
        <f>(C36+C37+C38)/((C17+C19)/365)</f>
        <v>735.18416581719327</v>
      </c>
      <c r="J10" s="25">
        <f>(D36+D37+D38)/((D17+D19)/365)</f>
        <v>990.0431962706798</v>
      </c>
      <c r="L10" s="36"/>
      <c r="M10" s="33"/>
      <c r="N10" s="33"/>
      <c r="P10" s="1" t="s">
        <v>155</v>
      </c>
      <c r="Q10" s="42">
        <f>B16/B8</f>
        <v>6.3637378020328261E-2</v>
      </c>
      <c r="R10" s="42">
        <f>C16/C8</f>
        <v>6.006555190163388E-2</v>
      </c>
      <c r="S10" s="42">
        <f>D16/D8</f>
        <v>7.2549769593646979E-2</v>
      </c>
    </row>
    <row r="11" spans="1:19" x14ac:dyDescent="0.3">
      <c r="A11" s="1" t="s">
        <v>5</v>
      </c>
      <c r="B11" s="12">
        <v>22075</v>
      </c>
      <c r="C11" s="12">
        <v>20715</v>
      </c>
      <c r="D11" s="12">
        <v>18273</v>
      </c>
      <c r="F11" s="18">
        <f t="shared" si="1"/>
        <v>1.5000000000000004</v>
      </c>
      <c r="G11" s="1" t="s">
        <v>103</v>
      </c>
      <c r="H11" s="26">
        <f>(B39/B12)*365</f>
        <v>8.0756980666171607</v>
      </c>
      <c r="I11" s="26">
        <f>(C39/C12)*365</f>
        <v>11.27659274770989</v>
      </c>
      <c r="J11" s="26">
        <f>(D39/D12)*365</f>
        <v>8.7418833562358831</v>
      </c>
      <c r="L11" t="s">
        <v>154</v>
      </c>
      <c r="M11" s="42">
        <f>(B15-C15)/C15</f>
        <v>0.19791001186456147</v>
      </c>
      <c r="N11" s="42">
        <f>((B15/D15)^(1/3))-1</f>
        <v>0.11866337419125861</v>
      </c>
      <c r="P11" s="1" t="s">
        <v>164</v>
      </c>
      <c r="Q11" s="42">
        <f>B18/B8</f>
        <v>0.30288744395528594</v>
      </c>
      <c r="R11" s="42">
        <f>C18/C8</f>
        <v>0.29782377527561593</v>
      </c>
      <c r="S11" s="42">
        <f>D18/D8</f>
        <v>0.24147314354406862</v>
      </c>
    </row>
    <row r="12" spans="1:19" x14ac:dyDescent="0.3">
      <c r="A12" s="8" t="s">
        <v>8</v>
      </c>
      <c r="B12" s="13">
        <f>+B10+B11</f>
        <v>223546</v>
      </c>
      <c r="C12" s="13">
        <f t="shared" ref="C12:D12" si="2">+C10+C11</f>
        <v>212981</v>
      </c>
      <c r="D12" s="13">
        <f t="shared" si="2"/>
        <v>169559</v>
      </c>
      <c r="F12" s="18">
        <f t="shared" si="1"/>
        <v>1.6000000000000005</v>
      </c>
      <c r="G12" s="1" t="s">
        <v>104</v>
      </c>
      <c r="H12" s="26">
        <f>(B51/B12)*365</f>
        <v>104.68527730310539</v>
      </c>
      <c r="I12" s="26">
        <f>(C51/C12)*365</f>
        <v>93.851071222315596</v>
      </c>
      <c r="J12" s="26">
        <f>(D51/D12)*365</f>
        <v>91.048189715674198</v>
      </c>
      <c r="L12" t="s">
        <v>155</v>
      </c>
      <c r="M12" s="42">
        <f>(B16-C16)/C16</f>
        <v>0.14203795567287125</v>
      </c>
      <c r="N12" s="42">
        <f>((B16/D16)^(1/3))-1</f>
        <v>8.0080002720725352E-2</v>
      </c>
      <c r="P12" s="1" t="s">
        <v>92</v>
      </c>
      <c r="Q12" s="42">
        <f>B22/B8</f>
        <v>0.25309640705199732</v>
      </c>
      <c r="R12" s="42">
        <f>C22/C8</f>
        <v>0.25881793355694238</v>
      </c>
      <c r="S12" s="42">
        <f>D22/D8</f>
        <v>0.20913611278072236</v>
      </c>
    </row>
    <row r="13" spans="1:19" x14ac:dyDescent="0.3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  <c r="F13" s="18">
        <f t="shared" si="1"/>
        <v>1.7000000000000006</v>
      </c>
      <c r="G13" s="1" t="s">
        <v>105</v>
      </c>
      <c r="H13" s="26">
        <f>(B38/B8)*365</f>
        <v>26.087825363656648</v>
      </c>
      <c r="I13" s="26">
        <f>(C38/C8)*365</f>
        <v>26.219311841713207</v>
      </c>
      <c r="J13" s="26">
        <f>(D38/D8)*365</f>
        <v>21.433437152796749</v>
      </c>
      <c r="L13" t="s">
        <v>156</v>
      </c>
      <c r="M13" s="42">
        <f>(B17-C17)/C17</f>
        <v>0.16993642764372138</v>
      </c>
      <c r="N13" s="42">
        <f>((B17/D17)^(1/3))-1</f>
        <v>9.9129378152164271E-2</v>
      </c>
    </row>
    <row r="14" spans="1:19" x14ac:dyDescent="0.3">
      <c r="A14" t="s">
        <v>10</v>
      </c>
      <c r="B14" s="12"/>
      <c r="C14" s="12"/>
      <c r="D14" s="12"/>
      <c r="F14" s="18">
        <f t="shared" si="1"/>
        <v>1.8000000000000007</v>
      </c>
      <c r="G14" s="1" t="s">
        <v>106</v>
      </c>
      <c r="H14" s="25">
        <f>H13+H11-H12</f>
        <v>-70.521753872831582</v>
      </c>
      <c r="I14" s="25">
        <f t="shared" ref="I14:J14" si="4">I13+I11-I12</f>
        <v>-56.355166632892498</v>
      </c>
      <c r="J14" s="25">
        <f t="shared" si="4"/>
        <v>-60.872869206641568</v>
      </c>
      <c r="M14" s="33"/>
      <c r="N14" s="33"/>
      <c r="P14" s="30" t="s">
        <v>166</v>
      </c>
      <c r="Q14" s="30"/>
      <c r="R14" s="30"/>
      <c r="S14" s="30"/>
    </row>
    <row r="15" spans="1:19" x14ac:dyDescent="0.3">
      <c r="A15" s="1" t="s">
        <v>11</v>
      </c>
      <c r="B15" s="12">
        <v>26251</v>
      </c>
      <c r="C15" s="12">
        <v>21914</v>
      </c>
      <c r="D15" s="12">
        <v>18752</v>
      </c>
      <c r="F15" s="18">
        <f t="shared" si="1"/>
        <v>1.9000000000000008</v>
      </c>
      <c r="G15" s="1" t="s">
        <v>107</v>
      </c>
      <c r="H15" s="27">
        <f>(B42-B56)/B8</f>
        <v>-4.711052727678481E-2</v>
      </c>
      <c r="I15" s="27">
        <f>(C42-C56)/C8</f>
        <v>2.557289573748623E-2</v>
      </c>
      <c r="J15" s="27">
        <f>(D42-D56)/D8</f>
        <v>0.13959528623208203</v>
      </c>
      <c r="L15" s="38" t="s">
        <v>158</v>
      </c>
      <c r="M15" s="42">
        <f>(B37-C37)/C37</f>
        <v>-0.10978735694429402</v>
      </c>
      <c r="N15" s="42">
        <f>((B37/D37)^(1/3))-1</f>
        <v>-0.22477662968514911</v>
      </c>
    </row>
    <row r="16" spans="1:19" x14ac:dyDescent="0.3">
      <c r="A16" s="1" t="s">
        <v>12</v>
      </c>
      <c r="B16" s="12">
        <v>25094</v>
      </c>
      <c r="C16" s="12">
        <v>21973</v>
      </c>
      <c r="D16" s="12">
        <v>19916</v>
      </c>
      <c r="F16" s="18"/>
      <c r="G16" s="3" t="s">
        <v>108</v>
      </c>
      <c r="H16" s="25">
        <f>B42-B56</f>
        <v>-18577</v>
      </c>
      <c r="I16" s="25">
        <f>C42-C56</f>
        <v>9355</v>
      </c>
      <c r="J16" s="25">
        <f>D42-D56</f>
        <v>38321</v>
      </c>
      <c r="L16" s="38" t="s">
        <v>27</v>
      </c>
      <c r="M16" s="42">
        <f>(B38-C38)/C38</f>
        <v>7.2532156176269125E-2</v>
      </c>
      <c r="N16" s="42">
        <f>((B38/D38)^(1/3))-1</f>
        <v>0.2047007967440464</v>
      </c>
      <c r="Q16" s="23"/>
      <c r="R16" s="23"/>
      <c r="S16" s="23"/>
    </row>
    <row r="17" spans="1:19" x14ac:dyDescent="0.3">
      <c r="A17" s="8" t="s">
        <v>149</v>
      </c>
      <c r="B17" s="13">
        <f>+B15+B16</f>
        <v>51345</v>
      </c>
      <c r="C17" s="13">
        <f t="shared" ref="C17:D17" si="5">+C15+C16</f>
        <v>43887</v>
      </c>
      <c r="D17" s="13">
        <f t="shared" si="5"/>
        <v>38668</v>
      </c>
      <c r="F17" s="18"/>
      <c r="L17" s="38" t="s">
        <v>28</v>
      </c>
      <c r="M17" s="42">
        <f>(B39-C39)/C39</f>
        <v>-0.24832826747720366</v>
      </c>
      <c r="N17" s="42">
        <f>((B39/D39)^(1/3))-1</f>
        <v>6.792406746550439E-2</v>
      </c>
      <c r="P17" s="1" t="s">
        <v>93</v>
      </c>
      <c r="Q17" s="42">
        <f>B21/B20</f>
        <v>0.16204461684424407</v>
      </c>
      <c r="R17" s="42">
        <f>C21/C20</f>
        <v>0.13302260844085087</v>
      </c>
      <c r="S17" s="42">
        <f>D21/D20</f>
        <v>0.14428164731484103</v>
      </c>
    </row>
    <row r="18" spans="1:19" s="7" customFormat="1" x14ac:dyDescent="0.3">
      <c r="A18" s="8" t="s">
        <v>150</v>
      </c>
      <c r="B18" s="13">
        <f>+B13-B17</f>
        <v>119437</v>
      </c>
      <c r="C18" s="13">
        <f t="shared" ref="C18:D18" si="6">+C13-C17</f>
        <v>108949</v>
      </c>
      <c r="D18" s="13">
        <f t="shared" si="6"/>
        <v>66288</v>
      </c>
      <c r="F18" s="18">
        <f>+F6+1</f>
        <v>2</v>
      </c>
      <c r="G18" s="17" t="s">
        <v>109</v>
      </c>
      <c r="H18"/>
      <c r="I18"/>
      <c r="J18"/>
      <c r="L18" s="38" t="s">
        <v>46</v>
      </c>
      <c r="M18" s="42">
        <f>(B40-C40)/C40</f>
        <v>0.29808149674964324</v>
      </c>
      <c r="N18" s="42">
        <f>((B40/D40)^(1/3))-1</f>
        <v>0.15371511021673512</v>
      </c>
      <c r="P18" s="1" t="s">
        <v>94</v>
      </c>
      <c r="Q18" s="42">
        <f>-B96/B8</f>
        <v>2.7155058732831552E-2</v>
      </c>
      <c r="R18" s="42">
        <f>-C96/C8</f>
        <v>3.0302036264033657E-2</v>
      </c>
      <c r="S18" s="42">
        <f>-D96/D8</f>
        <v>2.6625138881299748E-2</v>
      </c>
    </row>
    <row r="19" spans="1:19" x14ac:dyDescent="0.3">
      <c r="A19" t="s">
        <v>14</v>
      </c>
      <c r="B19" s="12">
        <v>-334</v>
      </c>
      <c r="C19" s="12">
        <v>258</v>
      </c>
      <c r="D19" s="12">
        <v>803</v>
      </c>
      <c r="F19" s="18">
        <f>+F18+0.1</f>
        <v>2.1</v>
      </c>
      <c r="G19" s="1" t="s">
        <v>9</v>
      </c>
      <c r="H19" s="27">
        <f>B13/B8</f>
        <v>0.43309630561360085</v>
      </c>
      <c r="I19" s="27">
        <f>C13/C8</f>
        <v>0.41779359625167778</v>
      </c>
      <c r="J19" s="27">
        <f>D13/D8</f>
        <v>0.38233247727810865</v>
      </c>
      <c r="L19" s="39" t="s">
        <v>29</v>
      </c>
      <c r="M19" s="42">
        <f>(B41-C41)/C41</f>
        <v>0.50400396853518536</v>
      </c>
      <c r="N19" s="42">
        <f>((B41/D41)^(1/3))-1</f>
        <v>0.23510736305096858</v>
      </c>
      <c r="P19" s="1" t="s">
        <v>95</v>
      </c>
      <c r="Q19" s="42">
        <f>-B96/B47</f>
        <v>4.9266160570508394E-2</v>
      </c>
      <c r="R19" s="42">
        <f>-C96/C47</f>
        <v>5.1280034788079534E-2</v>
      </c>
      <c r="S19" s="42">
        <f>-D96/D47</f>
        <v>4.0566116275842931E-2</v>
      </c>
    </row>
    <row r="20" spans="1:19" x14ac:dyDescent="0.3">
      <c r="A20" s="8" t="s">
        <v>15</v>
      </c>
      <c r="B20" s="13">
        <f>+B18+B19</f>
        <v>119103</v>
      </c>
      <c r="C20" s="13">
        <f t="shared" ref="C20:D20" si="7">+C18+C19</f>
        <v>109207</v>
      </c>
      <c r="D20" s="13">
        <f t="shared" si="7"/>
        <v>67091</v>
      </c>
      <c r="F20" s="18">
        <f>+F19+0.1</f>
        <v>2.2000000000000002</v>
      </c>
      <c r="G20" s="1" t="s">
        <v>110</v>
      </c>
      <c r="H20" s="27">
        <f>(B18+B79)/B8</f>
        <v>0.3310467428130896</v>
      </c>
      <c r="I20" s="27">
        <f>(C18+C79)/C8</f>
        <v>0.32866979938056462</v>
      </c>
      <c r="J20" s="27">
        <f>(D18+D79)/D8</f>
        <v>0.2817478097736007</v>
      </c>
      <c r="L20" s="38"/>
      <c r="M20" s="33"/>
      <c r="N20" s="33"/>
    </row>
    <row r="21" spans="1:19" x14ac:dyDescent="0.3">
      <c r="A21" t="s">
        <v>16</v>
      </c>
      <c r="B21" s="12">
        <v>19300</v>
      </c>
      <c r="C21" s="12">
        <v>14527</v>
      </c>
      <c r="D21" s="12">
        <v>9680</v>
      </c>
      <c r="F21" s="18"/>
      <c r="G21" s="3" t="s">
        <v>111</v>
      </c>
      <c r="H21" s="25">
        <f>B18+B79</f>
        <v>130541</v>
      </c>
      <c r="I21" s="25">
        <f>C18+C79</f>
        <v>120233</v>
      </c>
      <c r="J21" s="25">
        <f>D18+D79</f>
        <v>77344</v>
      </c>
      <c r="L21" s="38" t="s">
        <v>159</v>
      </c>
      <c r="M21" s="42">
        <f>(B44-C44)/C44</f>
        <v>-5.5303142863845724E-2</v>
      </c>
      <c r="N21" s="42">
        <f>((B44/D44)^(1/3))-1</f>
        <v>6.1899054012747534E-2</v>
      </c>
    </row>
    <row r="22" spans="1:19" ht="15" thickBot="1" x14ac:dyDescent="0.35">
      <c r="A22" s="9" t="s">
        <v>17</v>
      </c>
      <c r="B22" s="14">
        <f>+B20-B21</f>
        <v>99803</v>
      </c>
      <c r="C22" s="14">
        <f t="shared" ref="C22:D22" si="8">+C20-C21</f>
        <v>94680</v>
      </c>
      <c r="D22" s="14">
        <f t="shared" si="8"/>
        <v>57411</v>
      </c>
      <c r="F22" s="18">
        <f>+F20+0.1</f>
        <v>2.3000000000000003</v>
      </c>
      <c r="G22" s="1" t="s">
        <v>112</v>
      </c>
      <c r="H22" s="27">
        <f>B18/B8</f>
        <v>0.30288744395528594</v>
      </c>
      <c r="I22" s="27">
        <f>C18/C8</f>
        <v>0.29782377527561593</v>
      </c>
      <c r="J22" s="27">
        <f>D18/D8</f>
        <v>0.24147314354406862</v>
      </c>
      <c r="L22" s="38" t="s">
        <v>31</v>
      </c>
      <c r="M22" s="42">
        <f>(B45-C45)/C45</f>
        <v>6.7875253549695744E-2</v>
      </c>
      <c r="N22" s="42">
        <f>((B45/D45)^(1/3))-1</f>
        <v>4.6334026362723435E-2</v>
      </c>
    </row>
    <row r="23" spans="1:19" ht="15" thickTop="1" x14ac:dyDescent="0.3">
      <c r="A23" t="s">
        <v>18</v>
      </c>
      <c r="F23" s="18"/>
      <c r="G23" s="3" t="s">
        <v>113</v>
      </c>
      <c r="H23" s="25">
        <f>B18</f>
        <v>119437</v>
      </c>
      <c r="I23" s="25">
        <f>C18</f>
        <v>108949</v>
      </c>
      <c r="J23" s="25">
        <f>D18</f>
        <v>66288</v>
      </c>
      <c r="L23" s="38" t="s">
        <v>48</v>
      </c>
      <c r="M23" s="42">
        <f>(B46-C46)/C46</f>
        <v>0.11420909332842023</v>
      </c>
      <c r="N23" s="42">
        <f>((B46/D46)^(1/3))-1</f>
        <v>8.5765982710162003E-2</v>
      </c>
    </row>
    <row r="24" spans="1:19" x14ac:dyDescent="0.3">
      <c r="A24" s="1" t="s">
        <v>19</v>
      </c>
      <c r="B24" s="10">
        <v>6.15</v>
      </c>
      <c r="C24" s="10">
        <v>5.67</v>
      </c>
      <c r="D24" s="10">
        <v>3.31</v>
      </c>
      <c r="F24" s="18">
        <f>+F22+0.1</f>
        <v>2.4000000000000004</v>
      </c>
      <c r="G24" s="1" t="s">
        <v>114</v>
      </c>
      <c r="H24" s="27">
        <f>B22/B8</f>
        <v>0.25309640705199732</v>
      </c>
      <c r="I24" s="27">
        <f>C22/C8</f>
        <v>0.25881793355694238</v>
      </c>
      <c r="J24" s="27">
        <f>D22/D8</f>
        <v>0.20913611278072236</v>
      </c>
      <c r="L24" s="38"/>
      <c r="M24" s="33"/>
      <c r="N24" s="33"/>
    </row>
    <row r="25" spans="1:19" x14ac:dyDescent="0.3">
      <c r="A25" s="1" t="s">
        <v>20</v>
      </c>
      <c r="B25" s="10">
        <v>6.11</v>
      </c>
      <c r="C25" s="10">
        <v>5.61</v>
      </c>
      <c r="D25" s="10">
        <v>3.28</v>
      </c>
      <c r="F25" s="18"/>
      <c r="L25" s="38" t="s">
        <v>34</v>
      </c>
      <c r="M25" s="42">
        <f>(B51-C51)/C51</f>
        <v>0.17077223672917846</v>
      </c>
      <c r="N25" s="42">
        <f>((B51/D51)^(1/3))-1</f>
        <v>0.14873569543846465</v>
      </c>
    </row>
    <row r="26" spans="1:19" x14ac:dyDescent="0.3">
      <c r="A26" t="s">
        <v>21</v>
      </c>
      <c r="F26" s="18">
        <f>+F18+1</f>
        <v>3</v>
      </c>
      <c r="G26" s="7" t="s">
        <v>115</v>
      </c>
      <c r="L26" s="38" t="s">
        <v>35</v>
      </c>
      <c r="M26" s="42">
        <f>(B52-C52)/C52</f>
        <v>0.28113616743520098</v>
      </c>
      <c r="N26" s="42">
        <f>((B52/D52)^(1/3))-1</f>
        <v>0.12543373248861123</v>
      </c>
    </row>
    <row r="27" spans="1:19" x14ac:dyDescent="0.3">
      <c r="A27" s="1" t="s">
        <v>19</v>
      </c>
      <c r="B27" s="2">
        <v>16215963</v>
      </c>
      <c r="C27" s="2">
        <v>16701272</v>
      </c>
      <c r="D27" s="2">
        <v>17352119</v>
      </c>
      <c r="F27" s="18">
        <f>+F26+0.1</f>
        <v>3.1</v>
      </c>
      <c r="G27" s="1" t="s">
        <v>116</v>
      </c>
      <c r="H27" s="24">
        <f>B62/B68</f>
        <v>5.9615369434796337</v>
      </c>
      <c r="I27" s="24">
        <f>C62/C68</f>
        <v>4.5635124425423994</v>
      </c>
      <c r="J27" s="24">
        <f>D62/D68</f>
        <v>3.9570394404566951</v>
      </c>
      <c r="L27" s="38" t="s">
        <v>162</v>
      </c>
      <c r="M27" s="42">
        <f>(B53-C53)/C53</f>
        <v>3.9411455596426698E-2</v>
      </c>
      <c r="N27" s="42">
        <f>((B53/D53)^(1/3))-1</f>
        <v>6.0003604453229054E-2</v>
      </c>
    </row>
    <row r="28" spans="1:19" x14ac:dyDescent="0.3">
      <c r="A28" s="1" t="s">
        <v>20</v>
      </c>
      <c r="B28" s="2">
        <v>16325819</v>
      </c>
      <c r="C28" s="2">
        <v>16864919</v>
      </c>
      <c r="D28" s="2">
        <v>17528214</v>
      </c>
      <c r="F28" s="18">
        <f t="shared" ref="F28:F32" si="9">+F27+0.1</f>
        <v>3.2</v>
      </c>
      <c r="G28" s="1" t="s">
        <v>117</v>
      </c>
      <c r="H28" s="24">
        <f>B62/B48</f>
        <v>0.85635355983614692</v>
      </c>
      <c r="I28" s="24">
        <f>C62/C48</f>
        <v>0.82025743443057308</v>
      </c>
      <c r="J28" s="24">
        <f>D62/D48</f>
        <v>0.79826668477992391</v>
      </c>
      <c r="L28" s="38" t="s">
        <v>37</v>
      </c>
      <c r="M28" s="42">
        <f>(B54-C54)/C54</f>
        <v>0.66366666666666663</v>
      </c>
      <c r="N28" s="42">
        <f>((B54/D54)^(1/3))-1</f>
        <v>0.25950059967013517</v>
      </c>
    </row>
    <row r="29" spans="1:19" x14ac:dyDescent="0.3">
      <c r="F29" s="18">
        <f t="shared" si="9"/>
        <v>3.3000000000000003</v>
      </c>
      <c r="G29" s="1" t="s">
        <v>118</v>
      </c>
      <c r="H29" s="24">
        <f>B62/B69</f>
        <v>0.85635355983614692</v>
      </c>
      <c r="I29" s="24">
        <f>C62/C69</f>
        <v>0.82025743443057308</v>
      </c>
      <c r="J29" s="24">
        <f>D62/D69</f>
        <v>0.79826668477992391</v>
      </c>
      <c r="L29" s="39"/>
      <c r="M29" s="42"/>
      <c r="N29" s="33"/>
    </row>
    <row r="30" spans="1:19" x14ac:dyDescent="0.3">
      <c r="F30" s="18">
        <f t="shared" si="9"/>
        <v>3.4000000000000004</v>
      </c>
      <c r="G30" s="1" t="s">
        <v>119</v>
      </c>
      <c r="H30" s="43">
        <f>B18/B114</f>
        <v>41.68830715532286</v>
      </c>
      <c r="I30" s="43">
        <f>C18/C114</f>
        <v>40.546706363974693</v>
      </c>
      <c r="J30" s="43">
        <f>D18/D114</f>
        <v>22.081279147235175</v>
      </c>
      <c r="L30" s="38" t="s">
        <v>163</v>
      </c>
      <c r="M30" s="42">
        <v>0</v>
      </c>
      <c r="N30" s="42">
        <v>0</v>
      </c>
    </row>
    <row r="31" spans="1:19" x14ac:dyDescent="0.3">
      <c r="A31" s="31" t="s">
        <v>23</v>
      </c>
      <c r="B31" s="31"/>
      <c r="C31" s="31"/>
      <c r="D31" s="31"/>
      <c r="F31" s="18">
        <f t="shared" si="9"/>
        <v>3.5000000000000004</v>
      </c>
      <c r="G31" s="1" t="s">
        <v>120</v>
      </c>
      <c r="H31" s="43">
        <f>B18/B56</f>
        <v>0.7756555961086361</v>
      </c>
      <c r="I31" s="43">
        <f>C18/C56</f>
        <v>0.86825097026641485</v>
      </c>
      <c r="J31" s="43">
        <f>D18/D56</f>
        <v>0.6289661454379839</v>
      </c>
      <c r="L31" s="38" t="s">
        <v>51</v>
      </c>
      <c r="M31" s="42">
        <f>(B60-C60)/C60</f>
        <v>-7.8443506797937171E-2</v>
      </c>
      <c r="N31" s="42">
        <f>((B60/D60)^(1/3))-1</f>
        <v>-3.3848261033460392E-2</v>
      </c>
    </row>
    <row r="32" spans="1:19" x14ac:dyDescent="0.3">
      <c r="B32" s="30" t="s">
        <v>141</v>
      </c>
      <c r="C32" s="30"/>
      <c r="D32" s="30"/>
      <c r="F32" s="18">
        <f t="shared" si="9"/>
        <v>3.6000000000000005</v>
      </c>
      <c r="G32" s="1" t="s">
        <v>121</v>
      </c>
      <c r="H32" s="45">
        <f>B110/(B27/1000)</f>
        <v>1.5402723846866202</v>
      </c>
      <c r="I32" s="45">
        <f>C110/(C27/1000)</f>
        <v>2.1512732682875888</v>
      </c>
      <c r="J32" s="45">
        <f>D110/(D27/1000)</f>
        <v>2.2930340669056042</v>
      </c>
    </row>
    <row r="33" spans="1:12" x14ac:dyDescent="0.3">
      <c r="B33" s="7">
        <f>+B4</f>
        <v>2022</v>
      </c>
      <c r="C33" s="7">
        <f t="shared" ref="C33:D33" si="10">+C4</f>
        <v>2021</v>
      </c>
      <c r="D33" s="7">
        <f t="shared" si="10"/>
        <v>2020</v>
      </c>
      <c r="F33" s="18"/>
      <c r="G33" s="3" t="s">
        <v>122</v>
      </c>
      <c r="H33" s="40">
        <f>B110</f>
        <v>24977</v>
      </c>
      <c r="I33" s="40">
        <f>C110</f>
        <v>35929</v>
      </c>
      <c r="J33" s="40">
        <f>D110</f>
        <v>39789</v>
      </c>
    </row>
    <row r="34" spans="1:12" x14ac:dyDescent="0.3">
      <c r="F34" s="18"/>
    </row>
    <row r="35" spans="1:12" x14ac:dyDescent="0.3">
      <c r="A35" t="s">
        <v>24</v>
      </c>
      <c r="F35" s="18">
        <f>+F26+1</f>
        <v>4</v>
      </c>
      <c r="G35" s="17" t="s">
        <v>123</v>
      </c>
      <c r="L35" s="34"/>
    </row>
    <row r="36" spans="1:12" x14ac:dyDescent="0.3">
      <c r="A36" s="1" t="s">
        <v>25</v>
      </c>
      <c r="B36" s="12">
        <v>23646</v>
      </c>
      <c r="C36" s="12">
        <v>34940</v>
      </c>
      <c r="D36" s="12">
        <v>38016</v>
      </c>
      <c r="F36" s="18">
        <f>+F35+0.1</f>
        <v>4.0999999999999996</v>
      </c>
      <c r="G36" s="1" t="s">
        <v>124</v>
      </c>
      <c r="H36" s="24">
        <f>B8/B48</f>
        <v>1.1178523337727317</v>
      </c>
      <c r="I36" s="24">
        <f>C8/C48</f>
        <v>1.0422077367080529</v>
      </c>
      <c r="J36" s="24">
        <f>D8/D48</f>
        <v>0.84756150274168851</v>
      </c>
    </row>
    <row r="37" spans="1:12" x14ac:dyDescent="0.3">
      <c r="A37" s="1" t="s">
        <v>26</v>
      </c>
      <c r="B37" s="12">
        <v>24658</v>
      </c>
      <c r="C37" s="12">
        <v>27699</v>
      </c>
      <c r="D37" s="12">
        <v>52927</v>
      </c>
      <c r="F37" s="18">
        <f t="shared" ref="F37:F39" si="11">+F36+0.1</f>
        <v>4.1999999999999993</v>
      </c>
      <c r="G37" s="1" t="s">
        <v>125</v>
      </c>
      <c r="H37" s="24">
        <f>B8/B47</f>
        <v>1.8142535081665516</v>
      </c>
      <c r="I37" s="24">
        <f>C8/C47</f>
        <v>1.6922966608994938</v>
      </c>
      <c r="J37" s="24">
        <f>D8/D47</f>
        <v>1.5236020535590398</v>
      </c>
    </row>
    <row r="38" spans="1:12" x14ac:dyDescent="0.3">
      <c r="A38" s="1" t="s">
        <v>27</v>
      </c>
      <c r="B38" s="12">
        <v>28184</v>
      </c>
      <c r="C38" s="12">
        <v>26278</v>
      </c>
      <c r="D38" s="12">
        <v>16120</v>
      </c>
      <c r="F38" s="18">
        <f t="shared" si="11"/>
        <v>4.2999999999999989</v>
      </c>
      <c r="G38" s="1" t="s">
        <v>126</v>
      </c>
      <c r="H38" s="24">
        <f>B12/B39</f>
        <v>45.197331176708452</v>
      </c>
      <c r="I38" s="24">
        <f>C12/C39</f>
        <v>32.367933130699086</v>
      </c>
      <c r="J38" s="24">
        <f>D12/D39</f>
        <v>41.753016498399411</v>
      </c>
    </row>
    <row r="39" spans="1:12" x14ac:dyDescent="0.3">
      <c r="A39" s="1" t="s">
        <v>28</v>
      </c>
      <c r="B39" s="12">
        <v>4946</v>
      </c>
      <c r="C39" s="12">
        <v>6580</v>
      </c>
      <c r="D39" s="12">
        <v>4061</v>
      </c>
      <c r="F39" s="18">
        <f t="shared" si="11"/>
        <v>4.3999999999999986</v>
      </c>
      <c r="G39" s="1" t="s">
        <v>127</v>
      </c>
      <c r="H39" s="24">
        <f>B22/B48</f>
        <v>0.28292440929256851</v>
      </c>
      <c r="I39" s="24">
        <f>C22/C48</f>
        <v>0.26974205275183616</v>
      </c>
      <c r="J39" s="24">
        <f>D22/D48</f>
        <v>0.1772557180259843</v>
      </c>
    </row>
    <row r="40" spans="1:12" x14ac:dyDescent="0.3">
      <c r="A40" s="1" t="s">
        <v>46</v>
      </c>
      <c r="B40" s="12">
        <v>32748</v>
      </c>
      <c r="C40" s="12">
        <v>25228</v>
      </c>
      <c r="D40" s="12">
        <v>21325</v>
      </c>
      <c r="F40" s="18"/>
      <c r="L40" s="35"/>
    </row>
    <row r="41" spans="1:12" x14ac:dyDescent="0.3">
      <c r="A41" s="1" t="s">
        <v>29</v>
      </c>
      <c r="B41" s="12">
        <v>21223</v>
      </c>
      <c r="C41" s="12">
        <v>14111</v>
      </c>
      <c r="D41" s="12">
        <v>11264</v>
      </c>
      <c r="F41" s="18">
        <f>+F35+1</f>
        <v>5</v>
      </c>
      <c r="G41" s="17" t="s">
        <v>128</v>
      </c>
    </row>
    <row r="42" spans="1:12" x14ac:dyDescent="0.3">
      <c r="A42" s="8" t="s">
        <v>30</v>
      </c>
      <c r="B42" s="13">
        <f>+SUM(B36:B41)</f>
        <v>135405</v>
      </c>
      <c r="C42" s="13">
        <f t="shared" ref="C42:D42" si="12">+SUM(C36:C41)</f>
        <v>134836</v>
      </c>
      <c r="D42" s="13">
        <f t="shared" si="12"/>
        <v>143713</v>
      </c>
      <c r="F42" s="18">
        <f>+F41+0.1</f>
        <v>5.0999999999999996</v>
      </c>
      <c r="G42" s="1" t="s">
        <v>129</v>
      </c>
      <c r="H42" s="24">
        <f>B117/H43</f>
        <v>17.583554761480116</v>
      </c>
      <c r="I42" s="24">
        <f>C117/I43</f>
        <v>25.916253509083226</v>
      </c>
      <c r="J42" s="24">
        <f>D117/J43</f>
        <v>45.466535353329505</v>
      </c>
    </row>
    <row r="43" spans="1:12" x14ac:dyDescent="0.3">
      <c r="A43" t="s">
        <v>47</v>
      </c>
      <c r="B43" s="12"/>
      <c r="C43" s="12"/>
      <c r="D43" s="12"/>
      <c r="F43" s="18">
        <f t="shared" ref="F43:F46" si="13">+F42+0.1</f>
        <v>5.1999999999999993</v>
      </c>
      <c r="G43" s="3" t="s">
        <v>130</v>
      </c>
      <c r="H43" s="28">
        <f>B22/(B27/1000)</f>
        <v>6.1546144376377772</v>
      </c>
      <c r="I43" s="28">
        <f>C22/(C27/1000)</f>
        <v>5.6690292811230183</v>
      </c>
      <c r="J43" s="28">
        <f>D22/(D27/1000)</f>
        <v>3.3085872682177895</v>
      </c>
    </row>
    <row r="44" spans="1:12" x14ac:dyDescent="0.3">
      <c r="A44" s="1" t="s">
        <v>26</v>
      </c>
      <c r="B44" s="12">
        <v>120805</v>
      </c>
      <c r="C44" s="12">
        <v>127877</v>
      </c>
      <c r="D44" s="12">
        <v>100887</v>
      </c>
      <c r="F44" s="18">
        <f t="shared" si="13"/>
        <v>5.2999999999999989</v>
      </c>
      <c r="G44" s="1" t="s">
        <v>131</v>
      </c>
      <c r="H44" s="24">
        <f>B117/H45</f>
        <v>34.632371247631824</v>
      </c>
      <c r="I44" s="24">
        <f>$B$117/I45</f>
        <v>28.648147976541448</v>
      </c>
      <c r="J44" s="24">
        <f>$B$117/J45</f>
        <v>28.740052926735942</v>
      </c>
    </row>
    <row r="45" spans="1:12" x14ac:dyDescent="0.3">
      <c r="A45" s="1" t="s">
        <v>31</v>
      </c>
      <c r="B45" s="12">
        <v>42117</v>
      </c>
      <c r="C45" s="12">
        <v>39440</v>
      </c>
      <c r="D45" s="12">
        <v>36766</v>
      </c>
      <c r="F45" s="18">
        <f t="shared" si="13"/>
        <v>5.3999999999999986</v>
      </c>
      <c r="G45" s="3" t="s">
        <v>132</v>
      </c>
      <c r="H45" s="28">
        <f>B68/(B27/1000)</f>
        <v>3.1248221274308534</v>
      </c>
      <c r="I45" s="28">
        <f>C68/(C27/1000)</f>
        <v>3.7775565837141025</v>
      </c>
      <c r="J45" s="28">
        <f>D68/(D27/1000)</f>
        <v>3.7654767120949324</v>
      </c>
    </row>
    <row r="46" spans="1:12" x14ac:dyDescent="0.3">
      <c r="A46" s="1" t="s">
        <v>48</v>
      </c>
      <c r="B46" s="12">
        <v>54428</v>
      </c>
      <c r="C46" s="12">
        <v>48849</v>
      </c>
      <c r="D46" s="12">
        <v>42522</v>
      </c>
      <c r="F46" s="18">
        <f t="shared" si="13"/>
        <v>5.4999999999999982</v>
      </c>
      <c r="G46" s="1" t="s">
        <v>133</v>
      </c>
      <c r="H46" s="28">
        <f>1-((H43-H47)/H43)</f>
        <v>0.14870294480125856</v>
      </c>
      <c r="I46" s="28">
        <f t="shared" ref="I46:J46" si="14">1-((I43-I47)/I43)</f>
        <v>0.15279890156316023</v>
      </c>
      <c r="J46" s="28">
        <f t="shared" si="14"/>
        <v>0.24526658654264866</v>
      </c>
    </row>
    <row r="47" spans="1:12" x14ac:dyDescent="0.3">
      <c r="A47" s="8" t="s">
        <v>49</v>
      </c>
      <c r="B47" s="13">
        <f>+SUM(B44:B46)</f>
        <v>217350</v>
      </c>
      <c r="C47" s="13">
        <f t="shared" ref="C47:D47" si="15">+SUM(C44:C46)</f>
        <v>216166</v>
      </c>
      <c r="D47" s="13">
        <f t="shared" si="15"/>
        <v>180175</v>
      </c>
      <c r="F47" s="18"/>
      <c r="G47" s="3" t="s">
        <v>134</v>
      </c>
      <c r="H47" s="43">
        <f>(-B102*1000)/B27</f>
        <v>0.91520929099307891</v>
      </c>
      <c r="I47" s="43">
        <f>(-C102*1000)/C27</f>
        <v>0.86622144708498849</v>
      </c>
      <c r="J47" s="43">
        <f>(-D102*1000)/D27</f>
        <v>0.81148590555424382</v>
      </c>
    </row>
    <row r="48" spans="1:12" ht="15" thickBot="1" x14ac:dyDescent="0.35">
      <c r="A48" s="9" t="s">
        <v>32</v>
      </c>
      <c r="B48" s="14">
        <f>+B42+B47</f>
        <v>352755</v>
      </c>
      <c r="C48" s="14">
        <f t="shared" ref="C48:D48" si="16">+C42+C47</f>
        <v>351002</v>
      </c>
      <c r="D48" s="14">
        <f t="shared" si="16"/>
        <v>323888</v>
      </c>
      <c r="F48" s="18">
        <f>+F46+0.1</f>
        <v>5.5999999999999979</v>
      </c>
      <c r="G48" s="1" t="s">
        <v>135</v>
      </c>
      <c r="H48" s="44">
        <f>H47/$B$117</f>
        <v>8.4569330160144049E-3</v>
      </c>
      <c r="I48" s="44">
        <f>I47/$B$117</f>
        <v>8.0042639723247877E-3</v>
      </c>
      <c r="J48" s="44">
        <f>J47/$B$117</f>
        <v>7.4984836957516527E-3</v>
      </c>
    </row>
    <row r="49" spans="1:10" ht="15" thickTop="1" x14ac:dyDescent="0.3">
      <c r="F49" s="18">
        <f t="shared" ref="F49:F52" si="17">+F47+0.1</f>
        <v>0.1</v>
      </c>
      <c r="G49" s="1" t="s">
        <v>136</v>
      </c>
      <c r="H49" s="43">
        <f>B22/B68</f>
        <v>1.9695887275023682</v>
      </c>
      <c r="I49" s="43">
        <f>C22/C68</f>
        <v>1.5007132667617689</v>
      </c>
      <c r="J49" s="43">
        <f>D22/D68</f>
        <v>0.87866358530127486</v>
      </c>
    </row>
    <row r="50" spans="1:10" x14ac:dyDescent="0.3">
      <c r="A50" t="s">
        <v>33</v>
      </c>
      <c r="F50" s="18">
        <f t="shared" si="17"/>
        <v>5.6999999999999975</v>
      </c>
      <c r="G50" s="1" t="s">
        <v>137</v>
      </c>
      <c r="H50" s="24">
        <f>B18/(B48-B56)</f>
        <v>0.60087134570590572</v>
      </c>
      <c r="I50" s="24">
        <f>C18/(C48-C56)</f>
        <v>0.48309913489209433</v>
      </c>
      <c r="J50" s="24">
        <f>D18/(D48-D56)</f>
        <v>0.30338312829525482</v>
      </c>
    </row>
    <row r="51" spans="1:10" x14ac:dyDescent="0.3">
      <c r="A51" s="1" t="s">
        <v>34</v>
      </c>
      <c r="B51" s="12">
        <v>64115</v>
      </c>
      <c r="C51" s="12">
        <v>54763</v>
      </c>
      <c r="D51" s="12">
        <v>42296</v>
      </c>
      <c r="F51" s="18">
        <f t="shared" si="17"/>
        <v>0.2</v>
      </c>
      <c r="G51" s="1" t="s">
        <v>127</v>
      </c>
      <c r="H51" s="24">
        <f>B22/B48</f>
        <v>0.28292440929256851</v>
      </c>
      <c r="I51" s="24">
        <f>C22/C48</f>
        <v>0.26974205275183616</v>
      </c>
      <c r="J51" s="24">
        <f>D22/D48</f>
        <v>0.1772557180259843</v>
      </c>
    </row>
    <row r="52" spans="1:10" x14ac:dyDescent="0.3">
      <c r="A52" s="1" t="s">
        <v>35</v>
      </c>
      <c r="B52" s="12">
        <v>60845</v>
      </c>
      <c r="C52" s="12">
        <v>47493</v>
      </c>
      <c r="D52" s="12">
        <v>42684</v>
      </c>
      <c r="F52" s="18">
        <f t="shared" si="17"/>
        <v>5.7999999999999972</v>
      </c>
      <c r="G52" s="1" t="s">
        <v>138</v>
      </c>
      <c r="H52" s="24">
        <f>H53/H21</f>
        <v>14.105396127346964</v>
      </c>
      <c r="I52" s="24">
        <f t="shared" ref="I52:J52" si="18">I53/I21</f>
        <v>21.105103276471514</v>
      </c>
      <c r="J52" s="24">
        <f t="shared" si="18"/>
        <v>34.646556438379186</v>
      </c>
    </row>
    <row r="53" spans="1:10" x14ac:dyDescent="0.3">
      <c r="A53" s="1" t="s">
        <v>36</v>
      </c>
      <c r="B53" s="12">
        <v>7912</v>
      </c>
      <c r="C53" s="12">
        <v>7612</v>
      </c>
      <c r="D53" s="12">
        <v>6643</v>
      </c>
      <c r="F53" s="18"/>
      <c r="G53" s="3" t="s">
        <v>139</v>
      </c>
      <c r="H53" s="41">
        <f>(B117*(B27/1000))+(B55+B59)-B36</f>
        <v>1841332.5158599999</v>
      </c>
      <c r="I53" s="41">
        <f>(C117*(C27/1000))+(C55+C59)-C36</f>
        <v>2537529.8822399997</v>
      </c>
      <c r="J53" s="41">
        <f>(D117*(D27/1000))+(D55+D59)-D36</f>
        <v>2679703.2611699998</v>
      </c>
    </row>
    <row r="54" spans="1:10" x14ac:dyDescent="0.3">
      <c r="A54" s="1" t="s">
        <v>37</v>
      </c>
      <c r="B54" s="12">
        <v>9982</v>
      </c>
      <c r="C54" s="12">
        <v>6000</v>
      </c>
      <c r="D54" s="12">
        <v>4996</v>
      </c>
    </row>
    <row r="55" spans="1:10" x14ac:dyDescent="0.3">
      <c r="A55" s="1" t="s">
        <v>38</v>
      </c>
      <c r="B55" s="12">
        <v>11128</v>
      </c>
      <c r="C55" s="12">
        <v>9613</v>
      </c>
      <c r="D55" s="12">
        <v>8773</v>
      </c>
    </row>
    <row r="56" spans="1:10" x14ac:dyDescent="0.3">
      <c r="A56" s="8" t="s">
        <v>39</v>
      </c>
      <c r="B56" s="13">
        <f>+SUM(B51:B55)</f>
        <v>153982</v>
      </c>
      <c r="C56" s="13">
        <f t="shared" ref="C56:D56" si="19">+SUM(C51:C55)</f>
        <v>125481</v>
      </c>
      <c r="D56" s="13">
        <f t="shared" si="19"/>
        <v>105392</v>
      </c>
    </row>
    <row r="57" spans="1:10" x14ac:dyDescent="0.3">
      <c r="A57" t="s">
        <v>50</v>
      </c>
      <c r="B57" s="12"/>
      <c r="C57" s="12"/>
      <c r="D57" s="12"/>
    </row>
    <row r="58" spans="1:10" x14ac:dyDescent="0.3">
      <c r="A58" s="1" t="s">
        <v>36</v>
      </c>
      <c r="B58" s="12"/>
      <c r="C58" s="12"/>
      <c r="D58" s="12"/>
    </row>
    <row r="59" spans="1:10" x14ac:dyDescent="0.3">
      <c r="A59" s="1" t="s">
        <v>38</v>
      </c>
      <c r="B59" s="12">
        <v>98959</v>
      </c>
      <c r="C59" s="12">
        <v>109106</v>
      </c>
      <c r="D59" s="12">
        <v>98667</v>
      </c>
    </row>
    <row r="60" spans="1:10" x14ac:dyDescent="0.3">
      <c r="A60" s="1" t="s">
        <v>51</v>
      </c>
      <c r="B60" s="12">
        <v>49142</v>
      </c>
      <c r="C60" s="12">
        <v>53325</v>
      </c>
      <c r="D60" s="12">
        <v>54490</v>
      </c>
    </row>
    <row r="61" spans="1:10" x14ac:dyDescent="0.3">
      <c r="A61" s="22" t="s">
        <v>52</v>
      </c>
      <c r="B61" s="21">
        <f>+B59+B60</f>
        <v>148101</v>
      </c>
      <c r="C61" s="21">
        <f t="shared" ref="C61:D61" si="20">+C59+C60</f>
        <v>162431</v>
      </c>
      <c r="D61" s="21">
        <f t="shared" si="20"/>
        <v>153157</v>
      </c>
    </row>
    <row r="62" spans="1:10" x14ac:dyDescent="0.3">
      <c r="A62" s="8" t="s">
        <v>40</v>
      </c>
      <c r="B62" s="13">
        <f>+B56+B61</f>
        <v>302083</v>
      </c>
      <c r="C62" s="13">
        <f t="shared" ref="C62:D62" si="21">+C56+C61</f>
        <v>287912</v>
      </c>
      <c r="D62" s="13">
        <f t="shared" si="21"/>
        <v>258549</v>
      </c>
    </row>
    <row r="63" spans="1:10" x14ac:dyDescent="0.3">
      <c r="B63" s="12"/>
      <c r="C63" s="12"/>
      <c r="D63" s="12"/>
    </row>
    <row r="64" spans="1:10" x14ac:dyDescent="0.3">
      <c r="A64" t="s">
        <v>41</v>
      </c>
      <c r="B64" s="12"/>
      <c r="C64" s="12"/>
      <c r="D64" s="12"/>
    </row>
    <row r="65" spans="1:4" x14ac:dyDescent="0.3">
      <c r="A65" s="1" t="s">
        <v>53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42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43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44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</row>
    <row r="69" spans="1:4" ht="15" thickBot="1" x14ac:dyDescent="0.35">
      <c r="A69" s="9" t="s">
        <v>45</v>
      </c>
      <c r="B69" s="14">
        <f>+B68+B62</f>
        <v>352755</v>
      </c>
      <c r="C69" s="14">
        <f t="shared" ref="C69:D69" si="23">+C68+C62</f>
        <v>351002</v>
      </c>
      <c r="D69" s="14">
        <f t="shared" si="23"/>
        <v>323888</v>
      </c>
    </row>
    <row r="70" spans="1:4" ht="15" thickTop="1" x14ac:dyDescent="0.3"/>
    <row r="71" spans="1:4" x14ac:dyDescent="0.3">
      <c r="A71" s="31" t="s">
        <v>54</v>
      </c>
      <c r="B71" s="31"/>
      <c r="C71" s="31"/>
      <c r="D71" s="31"/>
    </row>
    <row r="72" spans="1:4" x14ac:dyDescent="0.3">
      <c r="B72" s="30" t="s">
        <v>22</v>
      </c>
      <c r="C72" s="30"/>
      <c r="D72" s="30"/>
    </row>
    <row r="73" spans="1:4" x14ac:dyDescent="0.3">
      <c r="B73" s="7">
        <f>+B33</f>
        <v>2022</v>
      </c>
      <c r="C73" s="7">
        <f t="shared" ref="C73:D73" si="24">+C33</f>
        <v>2021</v>
      </c>
      <c r="D73" s="7">
        <f t="shared" si="24"/>
        <v>2020</v>
      </c>
    </row>
    <row r="75" spans="1:4" x14ac:dyDescent="0.3">
      <c r="A75" s="7" t="s">
        <v>55</v>
      </c>
      <c r="B75" s="15"/>
      <c r="C75" s="15"/>
      <c r="D75" s="15"/>
    </row>
    <row r="76" spans="1:4" x14ac:dyDescent="0.3">
      <c r="A76" t="s">
        <v>56</v>
      </c>
      <c r="B76" s="12">
        <f>+B22</f>
        <v>99803</v>
      </c>
      <c r="C76" s="12">
        <f t="shared" ref="C76:D76" si="25">+C22</f>
        <v>94680</v>
      </c>
      <c r="D76" s="12">
        <f t="shared" si="25"/>
        <v>57411</v>
      </c>
    </row>
    <row r="77" spans="1:4" x14ac:dyDescent="0.3">
      <c r="A77" s="11" t="s">
        <v>17</v>
      </c>
      <c r="B77" s="15"/>
      <c r="C77" s="15"/>
      <c r="D77" s="15"/>
    </row>
    <row r="78" spans="1:4" x14ac:dyDescent="0.3">
      <c r="A78" s="1" t="s">
        <v>57</v>
      </c>
      <c r="B78" s="12"/>
      <c r="C78" s="12"/>
      <c r="D78" s="12"/>
    </row>
    <row r="79" spans="1:4" x14ac:dyDescent="0.3">
      <c r="A79" s="3" t="s">
        <v>58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82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59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60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61</v>
      </c>
      <c r="B83" s="12"/>
      <c r="C83" s="12"/>
      <c r="D83" s="12"/>
    </row>
    <row r="84" spans="1:4" x14ac:dyDescent="0.3">
      <c r="A84" s="1" t="s">
        <v>27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28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46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83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34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36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84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62</v>
      </c>
      <c r="B91" s="13">
        <f>+SUM(B76:B90)</f>
        <v>122151</v>
      </c>
      <c r="C91" s="13">
        <f t="shared" ref="C91:D91" si="26">+SUM(C76:C90)</f>
        <v>104038</v>
      </c>
      <c r="D91" s="13">
        <f t="shared" si="26"/>
        <v>80674</v>
      </c>
    </row>
    <row r="92" spans="1:4" x14ac:dyDescent="0.3">
      <c r="A92" s="7" t="s">
        <v>63</v>
      </c>
      <c r="B92" s="12"/>
      <c r="C92" s="12"/>
      <c r="D92" s="12"/>
    </row>
    <row r="93" spans="1:4" x14ac:dyDescent="0.3">
      <c r="A93" s="1" t="s">
        <v>64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65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66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67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68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60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69</v>
      </c>
      <c r="B99" s="13">
        <f>+SUM(B93:B98)</f>
        <v>-22354</v>
      </c>
      <c r="C99" s="13">
        <f t="shared" ref="C99:D99" si="27">+SUM(C93:C98)</f>
        <v>-14545</v>
      </c>
      <c r="D99" s="13">
        <f t="shared" si="27"/>
        <v>-4289</v>
      </c>
    </row>
    <row r="100" spans="1:4" x14ac:dyDescent="0.3">
      <c r="A100" s="7" t="s">
        <v>70</v>
      </c>
      <c r="B100" s="12"/>
      <c r="C100" s="12"/>
      <c r="D100" s="12"/>
    </row>
    <row r="101" spans="1:4" x14ac:dyDescent="0.3">
      <c r="A101" s="1" t="s">
        <v>85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71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72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73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74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75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60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76</v>
      </c>
      <c r="B108" s="13">
        <f>+SUM(B101:B107)</f>
        <v>-110749</v>
      </c>
      <c r="C108" s="13">
        <f t="shared" ref="C108:D108" si="28">+SUM(C101:C107)</f>
        <v>-93353</v>
      </c>
      <c r="D108" s="13">
        <f t="shared" si="28"/>
        <v>-86820</v>
      </c>
    </row>
    <row r="109" spans="1:4" x14ac:dyDescent="0.3">
      <c r="A109" s="8" t="s">
        <v>77</v>
      </c>
      <c r="B109" s="13">
        <f>+B91+B99+B108</f>
        <v>-10952</v>
      </c>
      <c r="C109" s="13">
        <f t="shared" ref="C109:D109" si="29">+C91+C99+C108</f>
        <v>-3860</v>
      </c>
      <c r="D109" s="13">
        <f t="shared" si="29"/>
        <v>-10435</v>
      </c>
    </row>
    <row r="110" spans="1:4" ht="15" thickBot="1" x14ac:dyDescent="0.35">
      <c r="A110" s="9" t="s">
        <v>78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79</v>
      </c>
      <c r="B112" s="12"/>
      <c r="C112" s="12"/>
      <c r="D112" s="12"/>
    </row>
    <row r="113" spans="1:4" x14ac:dyDescent="0.3">
      <c r="A113" t="s">
        <v>80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81</v>
      </c>
      <c r="B114" s="12">
        <v>2865</v>
      </c>
      <c r="C114" s="12">
        <v>2687</v>
      </c>
      <c r="D114" s="12">
        <v>3002</v>
      </c>
    </row>
    <row r="116" spans="1:4" x14ac:dyDescent="0.3">
      <c r="B116" s="32">
        <v>44098</v>
      </c>
      <c r="C116" s="32">
        <v>44463</v>
      </c>
      <c r="D116" s="32">
        <v>44828</v>
      </c>
    </row>
    <row r="117" spans="1:4" x14ac:dyDescent="0.3">
      <c r="A117" s="7" t="s">
        <v>151</v>
      </c>
      <c r="B117" s="29">
        <v>108.22</v>
      </c>
      <c r="C117" s="29">
        <v>146.91999999999999</v>
      </c>
      <c r="D117" s="29">
        <v>150.43</v>
      </c>
    </row>
  </sheetData>
  <mergeCells count="10">
    <mergeCell ref="A31:D31"/>
    <mergeCell ref="B32:D32"/>
    <mergeCell ref="A71:D71"/>
    <mergeCell ref="B72:D72"/>
    <mergeCell ref="A2:D2"/>
    <mergeCell ref="B3:D3"/>
    <mergeCell ref="H4:J4"/>
    <mergeCell ref="L4:N4"/>
    <mergeCell ref="P4:S4"/>
    <mergeCell ref="P14:S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Caden Sorensen</cp:lastModifiedBy>
  <dcterms:created xsi:type="dcterms:W3CDTF">2020-05-18T16:32:37Z</dcterms:created>
  <dcterms:modified xsi:type="dcterms:W3CDTF">2024-08-22T17:06:59Z</dcterms:modified>
</cp:coreProperties>
</file>