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0" documentId="8_{0706F94B-D100-4CED-BF47-2C246F4D0DF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D30" i="3"/>
  <c r="C30" i="3"/>
  <c r="D14" i="3"/>
  <c r="C51" i="3" l="1"/>
  <c r="C50" i="3"/>
  <c r="D51" i="3"/>
  <c r="D50" i="3" s="1"/>
  <c r="D49" i="3"/>
  <c r="C49" i="3"/>
  <c r="D48" i="3"/>
  <c r="C48" i="3"/>
  <c r="D47" i="3"/>
  <c r="C47" i="3"/>
  <c r="D42" i="3"/>
  <c r="C42" i="3"/>
  <c r="D43" i="3"/>
  <c r="C43" i="3"/>
  <c r="D40" i="3"/>
  <c r="C40" i="3"/>
  <c r="D41" i="3"/>
  <c r="C41" i="3"/>
  <c r="D35" i="3"/>
  <c r="C35" i="3"/>
  <c r="D34" i="3"/>
  <c r="C34" i="3"/>
  <c r="D36" i="3"/>
  <c r="C36" i="3"/>
  <c r="D37" i="3"/>
  <c r="C37" i="3"/>
  <c r="C31" i="3"/>
  <c r="D29" i="3"/>
  <c r="C29" i="3"/>
  <c r="D28" i="3"/>
  <c r="C28" i="3"/>
  <c r="D27" i="3"/>
  <c r="C27" i="3"/>
  <c r="D26" i="3"/>
  <c r="C26" i="3"/>
  <c r="D25" i="3"/>
  <c r="C25" i="3"/>
  <c r="D22" i="3"/>
  <c r="C22" i="3"/>
  <c r="D21" i="3"/>
  <c r="D20" i="3" s="1"/>
  <c r="C21" i="3"/>
  <c r="C20" i="3" s="1"/>
  <c r="D19" i="3"/>
  <c r="D18" i="3" s="1"/>
  <c r="C19" i="3"/>
  <c r="C18" i="3" s="1"/>
  <c r="D17" i="3"/>
  <c r="C17" i="3"/>
  <c r="D13" i="3"/>
  <c r="C14" i="3"/>
  <c r="C13" i="3" s="1"/>
  <c r="D11" i="3"/>
  <c r="D12" i="3" s="1"/>
  <c r="C11" i="3"/>
  <c r="C12" i="3" s="1"/>
  <c r="D10" i="3"/>
  <c r="C10" i="3"/>
  <c r="D9" i="3"/>
  <c r="C9" i="3"/>
  <c r="D8" i="3"/>
  <c r="C8" i="3"/>
  <c r="D7" i="3"/>
  <c r="C7" i="3"/>
  <c r="D6" i="3"/>
  <c r="C6" i="3"/>
  <c r="D5" i="3"/>
  <c r="C5" i="3"/>
  <c r="C102" i="2" l="1"/>
  <c r="C103" i="2" s="1"/>
  <c r="C100" i="2"/>
  <c r="B100" i="2"/>
  <c r="C90" i="2"/>
  <c r="B90" i="2"/>
  <c r="C82" i="2"/>
  <c r="B82" i="2"/>
  <c r="B102" i="2" s="1"/>
  <c r="B103" i="2" s="1"/>
  <c r="C62" i="2"/>
  <c r="C63" i="2" s="1"/>
  <c r="C40" i="2"/>
  <c r="C45" i="2" s="1"/>
  <c r="C15" i="2"/>
  <c r="C7" i="2"/>
  <c r="C16" i="2" s="1"/>
  <c r="C21" i="2" s="1"/>
  <c r="C24" i="2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<sst xmlns="http://schemas.openxmlformats.org/spreadsheetml/2006/main" count="352" uniqueCount="207">
  <si>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</si>
  <si>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</si>
  <si>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</si>
  <si>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</si>
  <si>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</si>
  <si>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</si>
  <si>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</si>
  <si>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</si>
  <si>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</si>
  <si>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</si>
  <si>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</si>
  <si>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</si>
  <si>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</si>
  <si>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</si>
  <si>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</si>
  <si>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</si>
  <si>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</si>
  <si>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</si>
  <si>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</si>
  <si>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</si>
  <si>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</si>
  <si>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</si>
  <si>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</si>
  <si>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</si>
  <si>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</si>
  <si>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</si>
  <si>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</si>
  <si>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</si>
  <si>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</si>
  <si>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</si>
  <si>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</si>
  <si>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</si>
  <si>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</si>
  <si>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</si>
  <si>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</si>
  <si>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</si>
  <si>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</si>
  <si>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</si>
  <si>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</si>
  <si>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</si>
  <si>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</si>
  <si>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</si>
  <si>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</si>
  <si>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</si>
  <si>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</si>
  <si>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</si>
  <si>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</si>
  <si>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</si>
  <si>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</si>
  <si>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</si>
  <si>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</si>
  <si>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</si>
  <si>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</si>
  <si>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</si>
  <si>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</si>
  <si>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</si>
  <si>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</si>
  <si>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</si>
  <si>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</si>
  <si>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</si>
  <si>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</si>
  <si>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</si>
  <si>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</si>
  <si>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</t>
  </si>
  <si>
    <t>228,035 </t>
  </si>
  <si>
    <t>469,822 </t>
  </si>
  <si>
    <t>Operating expenses:</t>
  </si>
  <si>
    <t>Cost of sales</t>
  </si>
  <si>
    <t>272,344 </t>
  </si>
  <si>
    <t>Fulfillment</t>
  </si>
  <si>
    <t>75,111 </t>
  </si>
  <si>
    <t>Technology and content</t>
  </si>
  <si>
    <t>56,052 </t>
  </si>
  <si>
    <t>Marketing</t>
  </si>
  <si>
    <t>32,551 </t>
  </si>
  <si>
    <t>General and administrative</t>
  </si>
  <si>
    <t>8,823 </t>
  </si>
  <si>
    <t>Other operating expense (income), net</t>
  </si>
  <si>
    <t>62 </t>
  </si>
  <si>
    <t>Total operating expenses</t>
  </si>
  <si>
    <t>444,943 </t>
  </si>
  <si>
    <t>24,879 </t>
  </si>
  <si>
    <t>Interest income</t>
  </si>
  <si>
    <t>448 </t>
  </si>
  <si>
    <t>Interest expense</t>
  </si>
  <si>
    <t>Other income (expense), net</t>
  </si>
  <si>
    <t>14,633 </t>
  </si>
  <si>
    <t>Total non-operating income (expense)</t>
  </si>
  <si>
    <t>13,272 </t>
  </si>
  <si>
    <t>Income before income taxes</t>
  </si>
  <si>
    <t>38,151 </t>
  </si>
  <si>
    <t>Provision for income taxes</t>
  </si>
  <si>
    <t>Equity-method investment activity, net of tax</t>
  </si>
  <si>
    <t>4 </t>
  </si>
  <si>
    <t>Net income</t>
  </si>
  <si>
    <t>33,364 </t>
  </si>
  <si>
    <t>Basic earnings per share</t>
  </si>
  <si>
    <t>Diluted earnings per share</t>
  </si>
  <si>
    <t>Weighted-average shares used in computation of earnings per share:</t>
  </si>
  <si>
    <t>Basic</t>
  </si>
  <si>
    <t>Diluted</t>
  </si>
  <si>
    <t>Current assets:</t>
  </si>
  <si>
    <t>Cash and cash equivalents</t>
  </si>
  <si>
    <t>36,220 </t>
  </si>
  <si>
    <t>Marketable securities</t>
  </si>
  <si>
    <t>59,829 </t>
  </si>
  <si>
    <t>Inventories</t>
  </si>
  <si>
    <t>32,640 </t>
  </si>
  <si>
    <t>Accounts receivable, net and other</t>
  </si>
  <si>
    <t>32,891 </t>
  </si>
  <si>
    <t>Total current assets</t>
  </si>
  <si>
    <t>161,580 </t>
  </si>
  <si>
    <t>Property and equipment, net</t>
  </si>
  <si>
    <t>160,281 </t>
  </si>
  <si>
    <t>Operating leases</t>
  </si>
  <si>
    <t>56,082 </t>
  </si>
  <si>
    <t>Goodwill</t>
  </si>
  <si>
    <t>15,371 </t>
  </si>
  <si>
    <t>Other assets</t>
  </si>
  <si>
    <t>27,235 </t>
  </si>
  <si>
    <t>Total assets</t>
  </si>
  <si>
    <t>420,549 </t>
  </si>
  <si>
    <t>Current liabilities:</t>
  </si>
  <si>
    <t>Accounts payable</t>
  </si>
  <si>
    <t>78,664 </t>
  </si>
  <si>
    <t>Accrued expenses and other</t>
  </si>
  <si>
    <t>51,775 </t>
  </si>
  <si>
    <t>Unearned revenue</t>
  </si>
  <si>
    <t>11,827 </t>
  </si>
  <si>
    <t>Total current liabilities</t>
  </si>
  <si>
    <t>142,266 </t>
  </si>
  <si>
    <t>Long-term lease liabilities</t>
  </si>
  <si>
    <t>67,651 </t>
  </si>
  <si>
    <t>Long-term debt</t>
  </si>
  <si>
    <t>48,744 </t>
  </si>
  <si>
    <t>Other long-term liabilities</t>
  </si>
  <si>
    <t>23,643 </t>
  </si>
  <si>
    <t>Stockholders’ equity:</t>
  </si>
  <si>
    <t>Treasury stock, at cost</t>
  </si>
  <si>
    <t>Additional paid-in capital</t>
  </si>
  <si>
    <t>55,538 </t>
  </si>
  <si>
    <t>Accumulated other comprehensive income (loss)</t>
  </si>
  <si>
    <t>Retained earnings</t>
  </si>
  <si>
    <t>85,915 </t>
  </si>
  <si>
    <t>Total stockholders’ equity</t>
  </si>
  <si>
    <t>138,245 </t>
  </si>
  <si>
    <t>Total liabilities and stockholders’ equity</t>
  </si>
  <si>
    <t>Preferred stock ($0.01 par value: 500 shares authorized; No issued and outstanding shares)</t>
  </si>
  <si>
    <t>Common stock, $0.01 par value: 5,000 shares authorized; 10,644 and 10,757 shares issued; 10,175 and 10,242 shares outstanding)</t>
  </si>
  <si>
    <t>CASH, CASH EQUIVALENTS, AND RESTRICTED CASH, BEGINNING OF PERIOD</t>
  </si>
  <si>
    <t>OPERATING ACTIVITIES:</t>
  </si>
  <si>
    <t>Net income (loss)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</si>
  <si>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</si>
  <si>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</si>
  <si>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</si>
  <si>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</si>
  <si>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</si>
  <si>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</si>
  <si>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</si>
  <si>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</si>
  <si>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</si>
  <si>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</si>
  <si>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</si>
  <si>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</si>
  <si>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</si>
  <si>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</si>
  <si>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</si>
  <si>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</si>
  <si>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</si>
  <si>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</si>
  <si>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</si>
  <si>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</si>
  <si>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</si>
  <si>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</si>
  <si>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</si>
  <si>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</si>
  <si>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</si>
  <si>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</si>
  <si>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Operating income (EBIT)</t>
  </si>
  <si>
    <t xml:space="preserve">Expected Growth Rates </t>
  </si>
  <si>
    <t>YoY</t>
  </si>
  <si>
    <t>CAGR</t>
  </si>
  <si>
    <t>Products</t>
  </si>
  <si>
    <t>Services</t>
  </si>
  <si>
    <t>Net Sales</t>
  </si>
  <si>
    <t>Gross Profit</t>
  </si>
  <si>
    <t>R&amp;D</t>
  </si>
  <si>
    <t>SG&amp;A</t>
  </si>
  <si>
    <t>Operating Expenses</t>
  </si>
  <si>
    <t>Marketable securities (Short-term)</t>
  </si>
  <si>
    <t>Accounts receivable, net</t>
  </si>
  <si>
    <t>Vendor non trade receivables</t>
  </si>
  <si>
    <t>Other current assets</t>
  </si>
  <si>
    <t>Marketable securities (Long-term)</t>
  </si>
  <si>
    <t>Property, plant and equipment, net</t>
  </si>
  <si>
    <t>Other non current assets</t>
  </si>
  <si>
    <t>Other current liabilities</t>
  </si>
  <si>
    <t>Deferred revenue (Short-term)</t>
  </si>
  <si>
    <t>Commercial paper</t>
  </si>
  <si>
    <t>Deferred revenue (Long-term)</t>
  </si>
  <si>
    <t>Other non current liabilities</t>
  </si>
  <si>
    <t>Years Ended</t>
  </si>
  <si>
    <t>Market Value</t>
  </si>
  <si>
    <t>Shares outstanding (billion)</t>
  </si>
  <si>
    <t>N/A</t>
  </si>
  <si>
    <t>Amazon Financial Ratios</t>
  </si>
  <si>
    <t>Amazon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</si>
</sst>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164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164" fontId="0" fillId="0" borderId="0" xfId="1" applyNumberFormat="1" applyFont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0" fontId="9" fillId="0" borderId="0" xfId="0" applyFont="1"/>
    <xf numFmtId="164" fontId="2" fillId="0" borderId="0" xfId="1" applyNumberFormat="1" applyFont="1" applyBorder="1" applyAlignment="1">
      <alignment horizontal="right"/>
    </xf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2" fillId="0" borderId="0" xfId="1" applyNumberFormat="1" applyFont="1" applyBorder="1"/>
    <xf numFmtId="44" fontId="0" fillId="0" borderId="0" xfId="3" applyFont="1" applyAlignment="1">
      <alignment horizontal="right"/>
    </xf>
    <xf numFmtId="44" fontId="0" fillId="0" borderId="0" xfId="3" applyFont="1"/>
    <xf numFmtId="166" fontId="0" fillId="0" borderId="0" xfId="3" applyNumberFormat="1" applyFont="1" applyAlignment="1">
      <alignment horizontal="right"/>
    </xf>
    <xf numFmtId="166" fontId="0" fillId="0" borderId="0" xfId="3" applyNumberFormat="1" applyFont="1"/>
    <xf numFmtId="164" fontId="1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9" fillId="0" borderId="0" xfId="0" applyFont="1" applyAlignment="1">
      <alignment wrapText="1"/>
    </xf>
    <xf numFmtId="164" fontId="1" fillId="0" borderId="0" xfId="1" applyNumberFormat="1" applyFont="1" applyBorder="1"/>
    <xf numFmtId="164" fontId="0" fillId="0" borderId="2" xfId="1" applyNumberFormat="1" applyFont="1" applyBorder="1"/>
    <xf numFmtId="43" fontId="0" fillId="0" borderId="0" xfId="0" applyNumberFormat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0" borderId="0" xfId="1" applyNumberFormat="1" applyFont="1"/>
    <xf numFmtId="0" fontId="0" fillId="5" borderId="0" xfId="0" applyFill="1"/>
    <xf numFmtId="164" fontId="0" fillId="5" borderId="0" xfId="1" applyNumberFormat="1" applyFont="1" applyFill="1"/>
    <xf numFmtId="167" fontId="0" fillId="0" borderId="0" xfId="1" applyNumberFormat="1" applyFont="1"/>
    <xf numFmtId="1" fontId="10" fillId="0" borderId="0" xfId="1" applyNumberFormat="1" applyFont="1"/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8" fillId="5" borderId="0" xfId="1" applyNumberFormat="1" applyFont="1" applyFill="1"/>
    <xf numFmtId="164" fontId="10" fillId="0" borderId="0" xfId="1" applyNumberFormat="1" applyFont="1"/>
    <xf numFmtId="1" fontId="10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168" fontId="0" fillId="0" borderId="0" xfId="0" applyNumberFormat="1"/>
    <xf numFmtId="1" fontId="0" fillId="0" borderId="0" xfId="0" applyNumberFormat="1"/>
    <xf numFmtId="167" fontId="0" fillId="0" borderId="0" xfId="0" applyNumberFormat="1"/>
    <xf numFmtId="164" fontId="0" fillId="0" borderId="0" xfId="0" applyNumberFormat="1"/>
    <xf numFmtId="10" fontId="0" fillId="0" borderId="0" xfId="4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60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58</v>
      </c>
    </row>
    <row r="8" spans="1:1" x14ac:dyDescent="0.3">
      <c r="A8" s="2" t="s">
        <v>59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X117"/>
  <sheetViews>
    <sheetView zoomScale="70" zoomScaleNormal="70" workbookViewId="0">
      <selection activeCell="J31" sqref="J31"/>
    </sheetView>
  </sheetViews>
  <sheetFormatPr defaultRowHeight="14.4" x14ac:dyDescent="0.3"/>
  <cols>
    <col min="1" max="1" width="64.88671875" customWidth="1"/>
    <col min="2" max="2" width="12.21875" customWidth="1"/>
    <col min="3" max="3" width="12.109375" customWidth="1"/>
    <col min="4" max="4" width="8.6640625" customWidth="1"/>
    <col min="5" max="9" width="8.88671875" hidden="1" customWidth="1"/>
    <col min="10" max="10" width="52.109375" customWidth="1"/>
    <col min="12" max="12" width="10.21875" customWidth="1"/>
  </cols>
  <sheetData>
    <row r="1" spans="1:33" ht="60" customHeight="1" x14ac:dyDescent="0.3">
      <c r="A1" s="7" t="s">
        <v>206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33" x14ac:dyDescent="0.3">
      <c r="A2" s="68" t="s">
        <v>10</v>
      </c>
      <c r="B2" s="68"/>
      <c r="C2" s="68"/>
      <c r="D2" s="51"/>
    </row>
    <row r="3" spans="1:33" x14ac:dyDescent="0.3">
      <c r="B3" s="69" t="s">
        <v>56</v>
      </c>
      <c r="C3" s="69"/>
      <c r="D3" s="9"/>
    </row>
    <row r="4" spans="1:33" x14ac:dyDescent="0.3">
      <c r="B4" s="19">
        <v>2021</v>
      </c>
      <c r="C4" s="19">
        <v>2022</v>
      </c>
    </row>
    <row r="5" spans="1:33" x14ac:dyDescent="0.3">
      <c r="A5" t="s">
        <v>61</v>
      </c>
      <c r="B5" s="40">
        <v>241787</v>
      </c>
      <c r="C5" s="41">
        <v>242901</v>
      </c>
      <c r="F5" t="s">
        <v>179</v>
      </c>
    </row>
    <row r="6" spans="1:33" x14ac:dyDescent="0.3">
      <c r="A6" s="20" t="s">
        <v>62</v>
      </c>
      <c r="B6" s="27" t="s">
        <v>64</v>
      </c>
      <c r="C6" s="33">
        <v>271082</v>
      </c>
      <c r="G6" t="s">
        <v>180</v>
      </c>
      <c r="H6" t="s">
        <v>181</v>
      </c>
      <c r="U6" s="12"/>
    </row>
    <row r="7" spans="1:33" x14ac:dyDescent="0.3">
      <c r="A7" t="s">
        <v>63</v>
      </c>
      <c r="B7" s="26" t="s">
        <v>65</v>
      </c>
      <c r="C7" s="10">
        <f>SUM(C5:C6)</f>
        <v>513983</v>
      </c>
      <c r="F7" t="s">
        <v>182</v>
      </c>
      <c r="G7">
        <v>6.3239764351428418E-2</v>
      </c>
      <c r="H7">
        <v>0.12725428276910122</v>
      </c>
    </row>
    <row r="8" spans="1:33" x14ac:dyDescent="0.3">
      <c r="A8" s="31" t="s">
        <v>66</v>
      </c>
      <c r="B8" s="26"/>
      <c r="C8" s="10"/>
      <c r="F8" t="s">
        <v>183</v>
      </c>
      <c r="G8">
        <v>0.14181951041286078</v>
      </c>
      <c r="H8">
        <v>0.13265103912077181</v>
      </c>
    </row>
    <row r="9" spans="1:33" x14ac:dyDescent="0.3">
      <c r="A9" t="s">
        <v>67</v>
      </c>
      <c r="B9" s="26" t="s">
        <v>68</v>
      </c>
      <c r="C9" s="10">
        <v>288831</v>
      </c>
      <c r="F9" t="s">
        <v>184</v>
      </c>
      <c r="G9">
        <v>7.7937876041846058E-2</v>
      </c>
      <c r="H9">
        <v>0.12831539031632122</v>
      </c>
    </row>
    <row r="10" spans="1:33" x14ac:dyDescent="0.3">
      <c r="A10" t="s">
        <v>69</v>
      </c>
      <c r="B10" s="26" t="s">
        <v>70</v>
      </c>
      <c r="C10" s="10">
        <v>84299</v>
      </c>
      <c r="F10" t="s">
        <v>185</v>
      </c>
      <c r="G10">
        <v>0.11741997958596143</v>
      </c>
      <c r="H10">
        <v>0.17619214518205273</v>
      </c>
    </row>
    <row r="11" spans="1:33" x14ac:dyDescent="0.3">
      <c r="A11" t="s">
        <v>71</v>
      </c>
      <c r="B11" s="26" t="s">
        <v>72</v>
      </c>
      <c r="C11" s="10">
        <v>73213</v>
      </c>
      <c r="O11" s="12"/>
      <c r="AA11" s="12"/>
      <c r="AG11" s="12"/>
    </row>
    <row r="12" spans="1:33" x14ac:dyDescent="0.3">
      <c r="A12" t="s">
        <v>73</v>
      </c>
      <c r="B12" s="26" t="s">
        <v>74</v>
      </c>
      <c r="C12" s="10">
        <v>42238</v>
      </c>
      <c r="F12" t="s">
        <v>186</v>
      </c>
      <c r="G12">
        <v>0.19791001186456147</v>
      </c>
      <c r="H12">
        <v>0.11866337419125861</v>
      </c>
      <c r="U12" s="12"/>
      <c r="AG12" s="12"/>
    </row>
    <row r="13" spans="1:33" x14ac:dyDescent="0.3">
      <c r="A13" t="s">
        <v>75</v>
      </c>
      <c r="B13" s="26" t="s">
        <v>76</v>
      </c>
      <c r="C13" s="10">
        <v>11891</v>
      </c>
      <c r="F13" t="s">
        <v>187</v>
      </c>
      <c r="G13">
        <v>0.14203795567287125</v>
      </c>
      <c r="H13">
        <v>8.0080002720725352E-2</v>
      </c>
    </row>
    <row r="14" spans="1:33" x14ac:dyDescent="0.3">
      <c r="A14" s="20" t="s">
        <v>77</v>
      </c>
      <c r="B14" s="27" t="s">
        <v>78</v>
      </c>
      <c r="C14" s="33">
        <v>1263</v>
      </c>
      <c r="F14" t="s">
        <v>188</v>
      </c>
      <c r="G14">
        <v>0.16993642764372138</v>
      </c>
      <c r="H14">
        <v>9.9129378152164271E-2</v>
      </c>
      <c r="U14" s="12"/>
      <c r="AA14" s="12"/>
      <c r="AG14" s="12"/>
    </row>
    <row r="15" spans="1:33" x14ac:dyDescent="0.3">
      <c r="A15" s="23" t="s">
        <v>79</v>
      </c>
      <c r="B15" s="27" t="s">
        <v>80</v>
      </c>
      <c r="C15" s="34">
        <f>SUM(C9:C14)</f>
        <v>501735</v>
      </c>
      <c r="O15" s="12"/>
      <c r="U15" s="12"/>
      <c r="AA15" s="12"/>
      <c r="AG15" s="12"/>
    </row>
    <row r="16" spans="1:33" x14ac:dyDescent="0.3">
      <c r="A16" t="s">
        <v>178</v>
      </c>
      <c r="B16" s="26" t="s">
        <v>81</v>
      </c>
      <c r="C16" s="10">
        <f>C7-C15</f>
        <v>12248</v>
      </c>
      <c r="F16" t="s">
        <v>189</v>
      </c>
      <c r="G16">
        <v>-0.10978735694429402</v>
      </c>
      <c r="H16">
        <v>-0.22477662968514911</v>
      </c>
      <c r="O16" s="12"/>
      <c r="U16" s="12"/>
    </row>
    <row r="17" spans="1:414" x14ac:dyDescent="0.3">
      <c r="A17" t="s">
        <v>82</v>
      </c>
      <c r="B17" s="26" t="s">
        <v>83</v>
      </c>
      <c r="C17" s="35">
        <v>989</v>
      </c>
      <c r="F17" t="s">
        <v>190</v>
      </c>
      <c r="G17">
        <v>7.2532156176269125E-2</v>
      </c>
      <c r="H17">
        <v>0.2047007967440464</v>
      </c>
      <c r="O17" s="12"/>
      <c r="U17" s="12"/>
    </row>
    <row r="18" spans="1:414" s="11" customFormat="1" x14ac:dyDescent="0.3">
      <c r="A18" t="s">
        <v>84</v>
      </c>
      <c r="B18" s="28">
        <v>-1809</v>
      </c>
      <c r="C18" s="35">
        <v>-2367</v>
      </c>
      <c r="D18"/>
      <c r="E18"/>
      <c r="F18" t="s">
        <v>106</v>
      </c>
      <c r="G18">
        <v>-0.24832826747720366</v>
      </c>
      <c r="H18" s="9">
        <v>6.792406746550439E-2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</row>
    <row r="19" spans="1:414" x14ac:dyDescent="0.3">
      <c r="A19" s="20" t="s">
        <v>85</v>
      </c>
      <c r="B19" s="30" t="s">
        <v>86</v>
      </c>
      <c r="C19" s="33">
        <v>-16806</v>
      </c>
      <c r="D19" s="9"/>
      <c r="E19" s="9"/>
      <c r="F19" s="9" t="s">
        <v>191</v>
      </c>
      <c r="G19" s="9">
        <v>0.29808149674964324</v>
      </c>
      <c r="H19">
        <v>0.15371511021673512</v>
      </c>
      <c r="O19" s="12"/>
      <c r="U19" s="12"/>
      <c r="AA19" s="12"/>
      <c r="AG19" s="12"/>
    </row>
    <row r="20" spans="1:414" x14ac:dyDescent="0.3">
      <c r="A20" s="23" t="s">
        <v>87</v>
      </c>
      <c r="B20" s="27" t="s">
        <v>88</v>
      </c>
      <c r="C20" s="34">
        <v>-18184</v>
      </c>
      <c r="F20" t="s">
        <v>192</v>
      </c>
      <c r="G20">
        <v>0.50400396853518536</v>
      </c>
      <c r="H20">
        <v>0.23510736305096858</v>
      </c>
    </row>
    <row r="21" spans="1:414" x14ac:dyDescent="0.3">
      <c r="A21" t="s">
        <v>89</v>
      </c>
      <c r="B21" s="26" t="s">
        <v>90</v>
      </c>
      <c r="C21" s="10">
        <f>SUM(C16:C19)</f>
        <v>-5936</v>
      </c>
      <c r="U21" s="12"/>
      <c r="AA21" s="12"/>
      <c r="AG21" s="12"/>
    </row>
    <row r="22" spans="1:414" x14ac:dyDescent="0.3">
      <c r="A22" t="s">
        <v>91</v>
      </c>
      <c r="B22" s="26">
        <v>-4791</v>
      </c>
      <c r="C22" s="10">
        <v>3217</v>
      </c>
      <c r="F22" t="s">
        <v>193</v>
      </c>
      <c r="G22">
        <v>-5.5303142863845724E-2</v>
      </c>
      <c r="H22">
        <v>6.1899054012747534E-2</v>
      </c>
    </row>
    <row r="23" spans="1:414" ht="15" thickBot="1" x14ac:dyDescent="0.35">
      <c r="A23" s="25" t="s">
        <v>92</v>
      </c>
      <c r="B23" s="29" t="s">
        <v>93</v>
      </c>
      <c r="C23" s="36">
        <v>-3</v>
      </c>
      <c r="F23" t="s">
        <v>194</v>
      </c>
      <c r="G23">
        <v>6.7875253549695744E-2</v>
      </c>
      <c r="H23">
        <v>4.6334026362723435E-2</v>
      </c>
      <c r="O23" s="12"/>
      <c r="U23" s="12"/>
      <c r="AA23" s="12"/>
      <c r="AG23" s="12"/>
    </row>
    <row r="24" spans="1:414" ht="15" thickTop="1" x14ac:dyDescent="0.3">
      <c r="A24" s="9" t="s">
        <v>94</v>
      </c>
      <c r="B24" s="32" t="s">
        <v>95</v>
      </c>
      <c r="C24" s="37">
        <f>SUM(C21:C23)</f>
        <v>-2722</v>
      </c>
      <c r="F24" t="s">
        <v>195</v>
      </c>
      <c r="G24">
        <v>0.11420909332842023</v>
      </c>
      <c r="H24">
        <v>8.5765982710162003E-2</v>
      </c>
      <c r="O24" s="12"/>
      <c r="AA24" s="12"/>
      <c r="AG24" s="12"/>
    </row>
    <row r="25" spans="1:414" x14ac:dyDescent="0.3">
      <c r="B25" s="26"/>
    </row>
    <row r="26" spans="1:414" x14ac:dyDescent="0.3">
      <c r="A26" t="s">
        <v>96</v>
      </c>
      <c r="B26" s="38">
        <v>3.3</v>
      </c>
      <c r="C26" s="39">
        <v>-0.27</v>
      </c>
      <c r="F26" t="s">
        <v>123</v>
      </c>
      <c r="G26">
        <v>0.17077223672917846</v>
      </c>
      <c r="H26">
        <v>0.14873569543846465</v>
      </c>
    </row>
    <row r="27" spans="1:414" x14ac:dyDescent="0.3">
      <c r="A27" t="s">
        <v>97</v>
      </c>
      <c r="B27" s="38">
        <v>3.24</v>
      </c>
      <c r="C27" s="39">
        <v>-0.27</v>
      </c>
      <c r="F27" t="s">
        <v>196</v>
      </c>
      <c r="G27">
        <v>0.28113616743520098</v>
      </c>
      <c r="H27">
        <v>0.12543373248861123</v>
      </c>
      <c r="U27" s="12"/>
      <c r="AG27" s="12"/>
    </row>
    <row r="28" spans="1:414" x14ac:dyDescent="0.3">
      <c r="A28" s="31" t="s">
        <v>98</v>
      </c>
      <c r="F28" t="s">
        <v>197</v>
      </c>
      <c r="G28">
        <v>3.9411455596426698E-2</v>
      </c>
      <c r="H28">
        <v>6.0003604453229054E-2</v>
      </c>
    </row>
    <row r="29" spans="1:414" x14ac:dyDescent="0.3">
      <c r="A29" t="s">
        <v>99</v>
      </c>
      <c r="B29" s="12">
        <v>10117</v>
      </c>
      <c r="C29" s="12">
        <v>10189</v>
      </c>
      <c r="F29" t="s">
        <v>198</v>
      </c>
      <c r="G29">
        <v>0.66366666666666663</v>
      </c>
      <c r="H29">
        <v>0.25950059967013517</v>
      </c>
      <c r="O29" s="12"/>
      <c r="U29" s="12"/>
      <c r="AA29" s="12"/>
      <c r="AG29" s="12"/>
    </row>
    <row r="30" spans="1:414" x14ac:dyDescent="0.3">
      <c r="A30" t="s">
        <v>100</v>
      </c>
      <c r="B30" s="22">
        <v>10296</v>
      </c>
      <c r="C30" s="12">
        <v>10189</v>
      </c>
    </row>
    <row r="31" spans="1:414" x14ac:dyDescent="0.3">
      <c r="F31" t="s">
        <v>199</v>
      </c>
      <c r="G31">
        <v>0</v>
      </c>
      <c r="H31">
        <v>0</v>
      </c>
      <c r="AA31" s="12"/>
      <c r="AG31" s="12"/>
    </row>
    <row r="32" spans="1:414" x14ac:dyDescent="0.3">
      <c r="A32" s="68" t="s">
        <v>12</v>
      </c>
      <c r="B32" s="68"/>
      <c r="C32" s="68"/>
      <c r="D32" s="51"/>
      <c r="F32" t="s">
        <v>200</v>
      </c>
      <c r="G32">
        <v>-7.8443506797937171E-2</v>
      </c>
      <c r="H32">
        <v>-3.3848261033460392E-2</v>
      </c>
    </row>
    <row r="33" spans="1:33" x14ac:dyDescent="0.3">
      <c r="B33" s="69" t="s">
        <v>57</v>
      </c>
      <c r="C33" s="69"/>
      <c r="D33" s="9"/>
      <c r="O33" s="12"/>
      <c r="U33" s="12"/>
      <c r="AA33" s="12"/>
      <c r="AG33" s="12"/>
    </row>
    <row r="34" spans="1:33" x14ac:dyDescent="0.3">
      <c r="B34" s="19">
        <v>2021</v>
      </c>
      <c r="C34" s="19">
        <v>2022</v>
      </c>
    </row>
    <row r="35" spans="1:33" x14ac:dyDescent="0.3">
      <c r="A35" s="31" t="s">
        <v>101</v>
      </c>
      <c r="O35" s="12"/>
      <c r="AA35" s="12"/>
    </row>
    <row r="36" spans="1:33" x14ac:dyDescent="0.3">
      <c r="A36" t="s">
        <v>102</v>
      </c>
      <c r="B36" s="26" t="s">
        <v>103</v>
      </c>
      <c r="C36" s="26">
        <v>53888</v>
      </c>
    </row>
    <row r="37" spans="1:33" x14ac:dyDescent="0.3">
      <c r="A37" t="s">
        <v>104</v>
      </c>
      <c r="B37" s="26" t="s">
        <v>105</v>
      </c>
      <c r="C37" s="26">
        <v>16138</v>
      </c>
      <c r="O37" s="12"/>
    </row>
    <row r="38" spans="1:33" x14ac:dyDescent="0.3">
      <c r="A38" t="s">
        <v>106</v>
      </c>
      <c r="B38" s="26" t="s">
        <v>107</v>
      </c>
      <c r="C38" s="26">
        <v>34405</v>
      </c>
    </row>
    <row r="39" spans="1:33" x14ac:dyDescent="0.3">
      <c r="A39" s="20" t="s">
        <v>108</v>
      </c>
      <c r="B39" s="27" t="s">
        <v>109</v>
      </c>
      <c r="C39" s="27">
        <v>42360</v>
      </c>
    </row>
    <row r="40" spans="1:33" x14ac:dyDescent="0.3">
      <c r="A40" t="s">
        <v>110</v>
      </c>
      <c r="B40" s="26" t="s">
        <v>111</v>
      </c>
      <c r="C40" s="26">
        <f>SUM(C36:C39)</f>
        <v>146791</v>
      </c>
    </row>
    <row r="41" spans="1:33" x14ac:dyDescent="0.3">
      <c r="A41" t="s">
        <v>112</v>
      </c>
      <c r="B41" s="26" t="s">
        <v>113</v>
      </c>
      <c r="C41" s="26">
        <v>186715</v>
      </c>
    </row>
    <row r="42" spans="1:33" x14ac:dyDescent="0.3">
      <c r="A42" t="s">
        <v>114</v>
      </c>
      <c r="B42" s="26" t="s">
        <v>115</v>
      </c>
      <c r="C42" s="26">
        <v>66123</v>
      </c>
    </row>
    <row r="43" spans="1:33" x14ac:dyDescent="0.3">
      <c r="A43" t="s">
        <v>116</v>
      </c>
      <c r="B43" s="26" t="s">
        <v>117</v>
      </c>
      <c r="C43" s="26">
        <v>20288</v>
      </c>
    </row>
    <row r="44" spans="1:33" ht="15" thickBot="1" x14ac:dyDescent="0.35">
      <c r="A44" s="25" t="s">
        <v>118</v>
      </c>
      <c r="B44" s="29" t="s">
        <v>119</v>
      </c>
      <c r="C44" s="29">
        <v>42758</v>
      </c>
    </row>
    <row r="45" spans="1:33" ht="15" thickTop="1" x14ac:dyDescent="0.3">
      <c r="A45" s="9" t="s">
        <v>120</v>
      </c>
      <c r="B45" s="45" t="s">
        <v>121</v>
      </c>
      <c r="C45" s="45">
        <f>SUM(C40:C44)</f>
        <v>462675</v>
      </c>
    </row>
    <row r="46" spans="1:33" x14ac:dyDescent="0.3">
      <c r="B46" s="26"/>
      <c r="C46" s="26"/>
    </row>
    <row r="47" spans="1:33" x14ac:dyDescent="0.3">
      <c r="A47" s="31" t="s">
        <v>122</v>
      </c>
      <c r="B47" s="26"/>
      <c r="C47" s="28"/>
    </row>
    <row r="48" spans="1:33" x14ac:dyDescent="0.3">
      <c r="A48" t="s">
        <v>123</v>
      </c>
      <c r="B48" s="42" t="s">
        <v>124</v>
      </c>
      <c r="C48" s="42">
        <v>79600</v>
      </c>
    </row>
    <row r="49" spans="1:3" x14ac:dyDescent="0.3">
      <c r="A49" t="s">
        <v>125</v>
      </c>
      <c r="B49" s="26" t="s">
        <v>126</v>
      </c>
      <c r="C49" s="26">
        <v>62566</v>
      </c>
    </row>
    <row r="50" spans="1:3" x14ac:dyDescent="0.3">
      <c r="A50" s="20" t="s">
        <v>127</v>
      </c>
      <c r="B50" s="27" t="s">
        <v>128</v>
      </c>
      <c r="C50" s="27">
        <v>13277</v>
      </c>
    </row>
    <row r="51" spans="1:3" x14ac:dyDescent="0.3">
      <c r="A51" t="s">
        <v>129</v>
      </c>
      <c r="B51" s="26" t="s">
        <v>130</v>
      </c>
      <c r="C51" s="26">
        <v>155393</v>
      </c>
    </row>
    <row r="52" spans="1:3" x14ac:dyDescent="0.3">
      <c r="A52" t="s">
        <v>131</v>
      </c>
      <c r="B52" s="26" t="s">
        <v>132</v>
      </c>
      <c r="C52" s="26">
        <v>72968</v>
      </c>
    </row>
    <row r="53" spans="1:3" x14ac:dyDescent="0.3">
      <c r="A53" t="s">
        <v>133</v>
      </c>
      <c r="B53" s="26" t="s">
        <v>134</v>
      </c>
      <c r="C53" s="26">
        <v>67150</v>
      </c>
    </row>
    <row r="54" spans="1:3" x14ac:dyDescent="0.3">
      <c r="A54" t="s">
        <v>135</v>
      </c>
      <c r="B54" s="26" t="s">
        <v>136</v>
      </c>
      <c r="C54" s="26">
        <v>21121</v>
      </c>
    </row>
    <row r="55" spans="1:3" x14ac:dyDescent="0.3">
      <c r="A55" s="31" t="s">
        <v>137</v>
      </c>
      <c r="B55" s="26"/>
      <c r="C55" s="26"/>
    </row>
    <row r="56" spans="1:3" ht="28.8" x14ac:dyDescent="0.3">
      <c r="A56" s="2" t="s">
        <v>147</v>
      </c>
      <c r="B56" s="26">
        <v>0</v>
      </c>
      <c r="C56" s="26">
        <v>0</v>
      </c>
    </row>
    <row r="57" spans="1:3" ht="28.8" x14ac:dyDescent="0.3">
      <c r="A57" s="2" t="s">
        <v>148</v>
      </c>
      <c r="B57" s="26">
        <v>106</v>
      </c>
      <c r="C57" s="26">
        <v>108</v>
      </c>
    </row>
    <row r="58" spans="1:3" x14ac:dyDescent="0.3">
      <c r="A58" t="s">
        <v>138</v>
      </c>
      <c r="B58" s="26">
        <v>-1837</v>
      </c>
      <c r="C58" s="26">
        <v>-7837</v>
      </c>
    </row>
    <row r="59" spans="1:3" x14ac:dyDescent="0.3">
      <c r="A59" t="s">
        <v>139</v>
      </c>
      <c r="B59" s="26" t="s">
        <v>140</v>
      </c>
      <c r="C59" s="26">
        <v>75066</v>
      </c>
    </row>
    <row r="60" spans="1:3" x14ac:dyDescent="0.3">
      <c r="A60" t="s">
        <v>141</v>
      </c>
      <c r="B60" s="26">
        <v>-1376</v>
      </c>
      <c r="C60" s="26">
        <v>-4487</v>
      </c>
    </row>
    <row r="61" spans="1:3" x14ac:dyDescent="0.3">
      <c r="A61" s="20" t="s">
        <v>142</v>
      </c>
      <c r="B61" s="27" t="s">
        <v>143</v>
      </c>
      <c r="C61" s="27">
        <v>83193</v>
      </c>
    </row>
    <row r="62" spans="1:3" ht="15" thickBot="1" x14ac:dyDescent="0.35">
      <c r="A62" s="24" t="s">
        <v>144</v>
      </c>
      <c r="B62" s="43" t="s">
        <v>145</v>
      </c>
      <c r="C62" s="43">
        <f>SUM(C56:C61)</f>
        <v>146043</v>
      </c>
    </row>
    <row r="63" spans="1:3" ht="15" thickTop="1" x14ac:dyDescent="0.3">
      <c r="A63" s="9" t="s">
        <v>146</v>
      </c>
      <c r="B63" s="45" t="s">
        <v>121</v>
      </c>
      <c r="C63" s="45">
        <f>SUM(C51:C54,C62)</f>
        <v>462675</v>
      </c>
    </row>
    <row r="64" spans="1:3" x14ac:dyDescent="0.3">
      <c r="A64" s="9"/>
      <c r="B64" s="37"/>
    </row>
    <row r="65" spans="1:4" x14ac:dyDescent="0.3">
      <c r="A65" s="68" t="s">
        <v>13</v>
      </c>
      <c r="B65" s="68"/>
      <c r="C65" s="68"/>
      <c r="D65" s="50"/>
    </row>
    <row r="66" spans="1:4" x14ac:dyDescent="0.3">
      <c r="B66" s="69" t="s">
        <v>56</v>
      </c>
      <c r="C66" s="69"/>
      <c r="D66" s="9"/>
    </row>
    <row r="67" spans="1:4" x14ac:dyDescent="0.3">
      <c r="B67" s="19">
        <v>2021</v>
      </c>
      <c r="C67" s="19">
        <v>2022</v>
      </c>
    </row>
    <row r="68" spans="1:4" x14ac:dyDescent="0.3">
      <c r="A68" s="9" t="s">
        <v>149</v>
      </c>
      <c r="B68" s="35">
        <v>42377</v>
      </c>
      <c r="C68" s="35">
        <v>36477</v>
      </c>
    </row>
    <row r="69" spans="1:4" x14ac:dyDescent="0.3">
      <c r="A69" s="9" t="s">
        <v>150</v>
      </c>
      <c r="B69" s="37"/>
      <c r="C69" s="37"/>
    </row>
    <row r="70" spans="1:4" x14ac:dyDescent="0.3">
      <c r="A70" t="s">
        <v>151</v>
      </c>
      <c r="B70" s="35">
        <v>33364</v>
      </c>
      <c r="C70" s="35">
        <v>-2722</v>
      </c>
    </row>
    <row r="71" spans="1:4" ht="28.8" x14ac:dyDescent="0.3">
      <c r="A71" s="46" t="s">
        <v>152</v>
      </c>
      <c r="B71" s="37"/>
      <c r="C71" s="37"/>
    </row>
    <row r="72" spans="1:4" ht="28.8" x14ac:dyDescent="0.3">
      <c r="A72" s="2" t="s">
        <v>153</v>
      </c>
      <c r="B72" s="35">
        <v>34433</v>
      </c>
      <c r="C72" s="35">
        <v>41921</v>
      </c>
    </row>
    <row r="73" spans="1:4" x14ac:dyDescent="0.3">
      <c r="A73" t="s">
        <v>154</v>
      </c>
      <c r="B73" s="35">
        <v>12757</v>
      </c>
      <c r="C73" s="35">
        <v>19621</v>
      </c>
    </row>
    <row r="74" spans="1:4" x14ac:dyDescent="0.3">
      <c r="A74" t="s">
        <v>155</v>
      </c>
      <c r="B74" s="35">
        <v>-14306</v>
      </c>
      <c r="C74" s="35">
        <v>16966</v>
      </c>
    </row>
    <row r="75" spans="1:4" x14ac:dyDescent="0.3">
      <c r="A75" t="s">
        <v>156</v>
      </c>
      <c r="B75" s="35">
        <v>-310</v>
      </c>
      <c r="C75" s="35">
        <v>-8148</v>
      </c>
    </row>
    <row r="76" spans="1:4" x14ac:dyDescent="0.3">
      <c r="A76" s="31" t="s">
        <v>157</v>
      </c>
      <c r="B76" s="35"/>
      <c r="C76" s="35"/>
    </row>
    <row r="77" spans="1:4" x14ac:dyDescent="0.3">
      <c r="A77" t="s">
        <v>106</v>
      </c>
      <c r="B77" s="35">
        <v>-9487</v>
      </c>
      <c r="C77" s="35">
        <v>-2592</v>
      </c>
    </row>
    <row r="78" spans="1:4" x14ac:dyDescent="0.3">
      <c r="A78" t="s">
        <v>108</v>
      </c>
      <c r="B78" s="35">
        <v>-18163</v>
      </c>
      <c r="C78" s="35">
        <v>-21897</v>
      </c>
    </row>
    <row r="79" spans="1:4" x14ac:dyDescent="0.3">
      <c r="A79" t="s">
        <v>123</v>
      </c>
      <c r="B79" s="35">
        <v>3602</v>
      </c>
      <c r="C79" s="35">
        <v>2945</v>
      </c>
    </row>
    <row r="80" spans="1:4" x14ac:dyDescent="0.3">
      <c r="A80" t="s">
        <v>125</v>
      </c>
      <c r="B80" s="35">
        <v>2123</v>
      </c>
      <c r="C80" s="35">
        <v>-1558</v>
      </c>
    </row>
    <row r="81" spans="1:3" x14ac:dyDescent="0.3">
      <c r="A81" s="20" t="s">
        <v>127</v>
      </c>
      <c r="B81" s="33">
        <v>2314</v>
      </c>
      <c r="C81" s="33">
        <v>2216</v>
      </c>
    </row>
    <row r="82" spans="1:3" x14ac:dyDescent="0.3">
      <c r="A82" s="1" t="s">
        <v>158</v>
      </c>
      <c r="B82" s="35">
        <f>SUM(B70:B81)</f>
        <v>46327</v>
      </c>
      <c r="C82" s="35">
        <f>SUM(C70:C81)</f>
        <v>46752</v>
      </c>
    </row>
    <row r="83" spans="1:3" x14ac:dyDescent="0.3">
      <c r="B83" s="10"/>
      <c r="C83" s="35"/>
    </row>
    <row r="84" spans="1:3" x14ac:dyDescent="0.3">
      <c r="A84" s="9" t="s">
        <v>159</v>
      </c>
      <c r="B84" s="37"/>
      <c r="C84" s="37"/>
    </row>
    <row r="85" spans="1:3" x14ac:dyDescent="0.3">
      <c r="A85" t="s">
        <v>160</v>
      </c>
      <c r="B85" s="35">
        <v>-61053</v>
      </c>
      <c r="C85" s="35">
        <v>-63645</v>
      </c>
    </row>
    <row r="86" spans="1:3" x14ac:dyDescent="0.3">
      <c r="A86" t="s">
        <v>161</v>
      </c>
      <c r="B86" s="35">
        <v>5657</v>
      </c>
      <c r="C86" s="35">
        <v>5324</v>
      </c>
    </row>
    <row r="87" spans="1:3" x14ac:dyDescent="0.3">
      <c r="A87" t="s">
        <v>162</v>
      </c>
      <c r="B87" s="35">
        <v>-1985</v>
      </c>
      <c r="C87" s="35">
        <v>-8316</v>
      </c>
    </row>
    <row r="88" spans="1:3" x14ac:dyDescent="0.3">
      <c r="A88" t="s">
        <v>163</v>
      </c>
      <c r="B88" s="35">
        <v>59384</v>
      </c>
      <c r="C88" s="35">
        <v>31601</v>
      </c>
    </row>
    <row r="89" spans="1:3" x14ac:dyDescent="0.3">
      <c r="A89" s="20" t="s">
        <v>164</v>
      </c>
      <c r="B89" s="33">
        <v>-60157</v>
      </c>
      <c r="C89" s="33">
        <v>-2565</v>
      </c>
    </row>
    <row r="90" spans="1:3" x14ac:dyDescent="0.3">
      <c r="A90" t="s">
        <v>165</v>
      </c>
      <c r="B90" s="35">
        <f>SUM(B85:B89)</f>
        <v>-58154</v>
      </c>
      <c r="C90" s="35">
        <f>SUM(C85:C89)</f>
        <v>-37601</v>
      </c>
    </row>
    <row r="91" spans="1:3" x14ac:dyDescent="0.3">
      <c r="B91" s="35"/>
      <c r="C91" s="35"/>
    </row>
    <row r="92" spans="1:3" x14ac:dyDescent="0.3">
      <c r="A92" s="9" t="s">
        <v>166</v>
      </c>
      <c r="B92" s="35"/>
      <c r="C92" s="35"/>
    </row>
    <row r="93" spans="1:3" x14ac:dyDescent="0.3">
      <c r="A93" t="s">
        <v>167</v>
      </c>
      <c r="B93" s="35">
        <v>0</v>
      </c>
      <c r="C93" s="35">
        <v>-6000</v>
      </c>
    </row>
    <row r="94" spans="1:3" x14ac:dyDescent="0.3">
      <c r="A94" t="s">
        <v>168</v>
      </c>
      <c r="B94" s="47">
        <v>7956</v>
      </c>
      <c r="C94" s="47">
        <v>41553</v>
      </c>
    </row>
    <row r="95" spans="1:3" x14ac:dyDescent="0.3">
      <c r="A95" t="s">
        <v>169</v>
      </c>
      <c r="B95" s="35">
        <v>-7753</v>
      </c>
      <c r="C95" s="35">
        <v>-37554</v>
      </c>
    </row>
    <row r="96" spans="1:3" x14ac:dyDescent="0.3">
      <c r="A96" t="s">
        <v>170</v>
      </c>
      <c r="B96" s="35">
        <v>19003</v>
      </c>
      <c r="C96" s="35">
        <v>21166</v>
      </c>
    </row>
    <row r="97" spans="1:4" x14ac:dyDescent="0.3">
      <c r="A97" t="s">
        <v>171</v>
      </c>
      <c r="B97">
        <v>-1590</v>
      </c>
      <c r="C97">
        <v>-1258</v>
      </c>
    </row>
    <row r="98" spans="1:4" x14ac:dyDescent="0.3">
      <c r="A98" t="s">
        <v>172</v>
      </c>
      <c r="B98" s="35">
        <v>-11163</v>
      </c>
      <c r="C98" s="35">
        <v>-7941</v>
      </c>
    </row>
    <row r="99" spans="1:4" x14ac:dyDescent="0.3">
      <c r="A99" s="20" t="s">
        <v>173</v>
      </c>
      <c r="B99" s="33">
        <v>-162</v>
      </c>
      <c r="C99" s="33">
        <v>-248</v>
      </c>
    </row>
    <row r="100" spans="1:4" x14ac:dyDescent="0.3">
      <c r="A100" t="s">
        <v>174</v>
      </c>
      <c r="B100" s="35">
        <f>SUM(B93:B99)</f>
        <v>6291</v>
      </c>
      <c r="C100" s="35">
        <f>SUM(C93:C99)</f>
        <v>9718</v>
      </c>
    </row>
    <row r="101" spans="1:4" x14ac:dyDescent="0.3">
      <c r="A101" s="20" t="s">
        <v>175</v>
      </c>
      <c r="B101" s="33">
        <v>-364</v>
      </c>
      <c r="C101" s="33">
        <v>-1093</v>
      </c>
    </row>
    <row r="102" spans="1:4" ht="15" thickBot="1" x14ac:dyDescent="0.35">
      <c r="A102" s="24" t="s">
        <v>176</v>
      </c>
      <c r="B102" s="48">
        <f>B82+B90+B100+B101</f>
        <v>-5900</v>
      </c>
      <c r="C102" s="48">
        <f>C82+C90+C100+C101</f>
        <v>17776</v>
      </c>
    </row>
    <row r="103" spans="1:4" ht="15" thickTop="1" x14ac:dyDescent="0.3">
      <c r="A103" s="9" t="s">
        <v>177</v>
      </c>
      <c r="B103" s="35">
        <f>B68+B102</f>
        <v>36477</v>
      </c>
      <c r="C103" s="35">
        <f>C68+C102</f>
        <v>54253</v>
      </c>
    </row>
    <row r="105" spans="1:4" x14ac:dyDescent="0.3">
      <c r="B105" s="37"/>
      <c r="C105" s="37"/>
    </row>
    <row r="106" spans="1:4" x14ac:dyDescent="0.3">
      <c r="A106" s="9"/>
      <c r="B106" s="37"/>
      <c r="C106" s="37"/>
    </row>
    <row r="107" spans="1:4" x14ac:dyDescent="0.3">
      <c r="A107" s="9"/>
      <c r="B107" s="37"/>
      <c r="C107" s="37"/>
    </row>
    <row r="108" spans="1:4" x14ac:dyDescent="0.3">
      <c r="B108" s="10"/>
      <c r="C108" s="10"/>
      <c r="D108" s="10"/>
    </row>
    <row r="115" spans="2:4" x14ac:dyDescent="0.3">
      <c r="B115" s="10"/>
      <c r="C115" s="10"/>
      <c r="D115" s="10"/>
    </row>
    <row r="116" spans="2:4" x14ac:dyDescent="0.3">
      <c r="B116" s="10"/>
      <c r="C116" s="10"/>
      <c r="D116" s="10"/>
    </row>
    <row r="117" spans="2:4" x14ac:dyDescent="0.3">
      <c r="B117" s="10"/>
      <c r="C117" s="10"/>
      <c r="D117" s="10"/>
    </row>
  </sheetData>
  <mergeCells count="6">
    <mergeCell ref="B66:C66"/>
    <mergeCell ref="A32:C32"/>
    <mergeCell ref="A65:C65"/>
    <mergeCell ref="A2:C2"/>
    <mergeCell ref="B3:C3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tabSelected="1" zoomScale="80" zoomScaleNormal="80" workbookViewId="0">
      <selection activeCell="D35" sqref="D35"/>
    </sheetView>
  </sheetViews>
  <sheetFormatPr defaultRowHeight="14.4" x14ac:dyDescent="0.3"/>
  <cols>
    <col min="1" max="1" width="4.6640625" customWidth="1"/>
    <col min="2" max="2" width="44.88671875" customWidth="1"/>
    <col min="3" max="3" width="15.77734375" bestFit="1" customWidth="1"/>
    <col min="4" max="4" width="17.44140625" bestFit="1" customWidth="1"/>
    <col min="10" max="10" width="8.77734375" customWidth="1"/>
    <col min="11" max="11" width="59.5546875" hidden="1" customWidth="1"/>
    <col min="12" max="12" width="0.109375" hidden="1" customWidth="1"/>
    <col min="13" max="14" width="9.6640625" hidden="1" customWidth="1"/>
  </cols>
  <sheetData>
    <row r="1" spans="1:14" ht="60" customHeight="1" x14ac:dyDescent="0.5">
      <c r="A1" s="7"/>
      <c r="B1" s="15" t="s">
        <v>205</v>
      </c>
      <c r="C1" s="16"/>
      <c r="D1" s="16"/>
      <c r="E1" s="16"/>
      <c r="F1" s="16"/>
      <c r="G1" s="16"/>
      <c r="H1" s="16"/>
      <c r="I1" s="16"/>
      <c r="J1" s="16"/>
    </row>
    <row r="2" spans="1:14" x14ac:dyDescent="0.3">
      <c r="C2" s="69" t="s">
        <v>201</v>
      </c>
      <c r="D2" s="69"/>
    </row>
    <row r="3" spans="1:14" x14ac:dyDescent="0.3">
      <c r="C3" s="19">
        <v>2021</v>
      </c>
      <c r="D3" s="19">
        <v>2022</v>
      </c>
      <c r="K3" s="53" t="s">
        <v>10</v>
      </c>
      <c r="L3" s="53"/>
      <c r="M3" s="53"/>
      <c r="N3" s="53"/>
    </row>
    <row r="4" spans="1:14" x14ac:dyDescent="0.3">
      <c r="A4" s="17">
        <v>1</v>
      </c>
      <c r="B4" s="9" t="s">
        <v>14</v>
      </c>
      <c r="L4" s="70" t="s">
        <v>56</v>
      </c>
      <c r="M4" s="70"/>
      <c r="N4" s="70"/>
    </row>
    <row r="5" spans="1:14" x14ac:dyDescent="0.3">
      <c r="A5" s="17">
        <f>+A4+0.1</f>
        <v>1.1000000000000001</v>
      </c>
      <c r="B5" s="1" t="s">
        <v>15</v>
      </c>
      <c r="C5" s="55">
        <f>M41/M52</f>
        <v>1.1357597739445826</v>
      </c>
      <c r="D5" s="55">
        <f>N41/N52</f>
        <v>0.9446435811136924</v>
      </c>
      <c r="L5" s="61">
        <v>2021</v>
      </c>
      <c r="M5" s="62">
        <v>2021</v>
      </c>
      <c r="N5" s="62">
        <v>2022</v>
      </c>
    </row>
    <row r="6" spans="1:14" x14ac:dyDescent="0.3">
      <c r="A6" s="17">
        <f t="shared" ref="A6:A13" si="0">+A5+0.1</f>
        <v>1.2000000000000002</v>
      </c>
      <c r="B6" s="1" t="s">
        <v>16</v>
      </c>
      <c r="C6" s="55">
        <f>(M41-M39)/M52</f>
        <v>0.90633039517523517</v>
      </c>
      <c r="D6" s="55">
        <f>(N41-N39)/N52</f>
        <v>0.72323721145740161</v>
      </c>
      <c r="K6" t="s">
        <v>61</v>
      </c>
      <c r="L6" s="57">
        <v>241787</v>
      </c>
      <c r="M6" s="44">
        <v>241787</v>
      </c>
      <c r="N6" s="44">
        <v>242901</v>
      </c>
    </row>
    <row r="7" spans="1:14" x14ac:dyDescent="0.3">
      <c r="A7" s="17">
        <f t="shared" si="0"/>
        <v>1.3000000000000003</v>
      </c>
      <c r="B7" s="1" t="s">
        <v>17</v>
      </c>
      <c r="C7" s="65">
        <f>M37/M52</f>
        <v>0.25459350793583851</v>
      </c>
      <c r="D7" s="65">
        <f>N37/N52</f>
        <v>0.34678524772673158</v>
      </c>
      <c r="K7" t="s">
        <v>62</v>
      </c>
      <c r="L7" s="57" t="s">
        <v>64</v>
      </c>
      <c r="M7" s="44"/>
      <c r="N7" s="44">
        <v>271082</v>
      </c>
    </row>
    <row r="8" spans="1:14" x14ac:dyDescent="0.3">
      <c r="A8" s="17">
        <f t="shared" si="0"/>
        <v>1.4000000000000004</v>
      </c>
      <c r="B8" s="1" t="s">
        <v>18</v>
      </c>
      <c r="C8" s="64">
        <f>(M37+M38+M40)/((M16+M20)/365)</f>
        <v>102.4054780928508</v>
      </c>
      <c r="D8" s="64">
        <f>(N37+N38+N40)/((N16+N20)/365)</f>
        <v>84.591538142697175</v>
      </c>
      <c r="K8" t="s">
        <v>63</v>
      </c>
      <c r="L8" s="57" t="s">
        <v>65</v>
      </c>
      <c r="M8" s="44">
        <v>469822</v>
      </c>
      <c r="N8" s="44">
        <v>513983</v>
      </c>
    </row>
    <row r="9" spans="1:14" x14ac:dyDescent="0.3">
      <c r="A9" s="17">
        <f t="shared" si="0"/>
        <v>1.5000000000000004</v>
      </c>
      <c r="B9" s="1" t="s">
        <v>19</v>
      </c>
      <c r="C9" s="64">
        <f>(M39/M10)*365</f>
        <v>43.744675851129458</v>
      </c>
      <c r="D9" s="64">
        <f>(N39/N10)*365</f>
        <v>43.4781065744328</v>
      </c>
      <c r="K9" t="s">
        <v>66</v>
      </c>
      <c r="L9" s="57"/>
      <c r="M9" s="44"/>
      <c r="N9" s="44"/>
    </row>
    <row r="10" spans="1:14" x14ac:dyDescent="0.3">
      <c r="A10" s="17">
        <f t="shared" si="0"/>
        <v>1.6000000000000005</v>
      </c>
      <c r="B10" s="1" t="s">
        <v>20</v>
      </c>
      <c r="C10" s="64">
        <f>(M49/M10)*365</f>
        <v>105.42681314807743</v>
      </c>
      <c r="D10" s="64">
        <f>(N49/N10)*365</f>
        <v>100.59169548975007</v>
      </c>
      <c r="K10" t="s">
        <v>67</v>
      </c>
      <c r="L10" s="57" t="s">
        <v>68</v>
      </c>
      <c r="M10" s="44">
        <v>272344</v>
      </c>
      <c r="N10" s="44">
        <v>288831</v>
      </c>
    </row>
    <row r="11" spans="1:14" x14ac:dyDescent="0.3">
      <c r="A11" s="17">
        <f t="shared" si="0"/>
        <v>1.7000000000000006</v>
      </c>
      <c r="B11" s="1" t="s">
        <v>21</v>
      </c>
      <c r="C11" s="64">
        <f>(M40/M8)*365</f>
        <v>25.552688039299991</v>
      </c>
      <c r="D11" s="64">
        <f>(N40/N8)*365</f>
        <v>30.081539661817608</v>
      </c>
      <c r="K11" t="s">
        <v>69</v>
      </c>
      <c r="L11" s="57" t="s">
        <v>70</v>
      </c>
      <c r="M11" s="44"/>
      <c r="N11" s="44">
        <v>84299</v>
      </c>
    </row>
    <row r="12" spans="1:14" x14ac:dyDescent="0.3">
      <c r="A12" s="17">
        <f t="shared" si="0"/>
        <v>1.8000000000000007</v>
      </c>
      <c r="B12" s="1" t="s">
        <v>22</v>
      </c>
      <c r="C12" s="64">
        <f>C9+C11-C10</f>
        <v>-36.129449257647977</v>
      </c>
      <c r="D12" s="64">
        <f>D9+D11-D10</f>
        <v>-27.03204925349965</v>
      </c>
      <c r="K12" t="s">
        <v>71</v>
      </c>
      <c r="L12" s="57" t="s">
        <v>72</v>
      </c>
      <c r="M12" s="44"/>
      <c r="N12" s="44">
        <v>73213</v>
      </c>
    </row>
    <row r="13" spans="1:14" x14ac:dyDescent="0.3">
      <c r="A13" s="17">
        <f t="shared" si="0"/>
        <v>1.9000000000000008</v>
      </c>
      <c r="B13" s="1" t="s">
        <v>23</v>
      </c>
      <c r="C13" s="67">
        <f>C14/M8</f>
        <v>4.1109186032156859E-2</v>
      </c>
      <c r="D13" s="67">
        <f>D14/N8</f>
        <v>-1.6735962084349094E-2</v>
      </c>
      <c r="K13" t="s">
        <v>73</v>
      </c>
      <c r="L13" s="57" t="s">
        <v>74</v>
      </c>
      <c r="M13" s="44"/>
      <c r="N13" s="44">
        <v>42238</v>
      </c>
    </row>
    <row r="14" spans="1:14" x14ac:dyDescent="0.3">
      <c r="A14" s="17"/>
      <c r="B14" s="14" t="s">
        <v>24</v>
      </c>
      <c r="C14" s="66">
        <f>M41-M52</f>
        <v>19314</v>
      </c>
      <c r="D14" s="66">
        <f>N41-N52</f>
        <v>-8602</v>
      </c>
      <c r="K14" t="s">
        <v>75</v>
      </c>
      <c r="L14" s="57" t="s">
        <v>76</v>
      </c>
      <c r="M14" s="44"/>
      <c r="N14" s="44">
        <v>11891</v>
      </c>
    </row>
    <row r="15" spans="1:14" x14ac:dyDescent="0.3">
      <c r="A15" s="17"/>
      <c r="K15" t="s">
        <v>77</v>
      </c>
      <c r="L15" s="57" t="s">
        <v>78</v>
      </c>
      <c r="M15" s="44"/>
      <c r="N15" s="44">
        <v>1263</v>
      </c>
    </row>
    <row r="16" spans="1:14" x14ac:dyDescent="0.3">
      <c r="A16" s="17">
        <f>+A4+1</f>
        <v>2</v>
      </c>
      <c r="B16" s="18" t="s">
        <v>25</v>
      </c>
      <c r="K16" t="s">
        <v>79</v>
      </c>
      <c r="L16" s="57" t="s">
        <v>80</v>
      </c>
      <c r="M16" s="44">
        <v>444943</v>
      </c>
      <c r="N16" s="44">
        <v>501735</v>
      </c>
    </row>
    <row r="17" spans="1:14" x14ac:dyDescent="0.3">
      <c r="A17" s="17">
        <f>+A16+0.1</f>
        <v>2.1</v>
      </c>
      <c r="B17" s="1" t="s">
        <v>11</v>
      </c>
      <c r="C17" s="67">
        <f>(M8-M10)/M8</f>
        <v>0.42032514441639601</v>
      </c>
      <c r="D17" s="67">
        <f>(N8-N10)/N8</f>
        <v>0.43805339865326287</v>
      </c>
      <c r="K17" t="s">
        <v>178</v>
      </c>
      <c r="L17" s="57" t="s">
        <v>81</v>
      </c>
      <c r="M17" s="44">
        <v>24897</v>
      </c>
      <c r="N17" s="44">
        <v>12248</v>
      </c>
    </row>
    <row r="18" spans="1:14" x14ac:dyDescent="0.3">
      <c r="A18" s="17">
        <f>+A17+0.1</f>
        <v>2.2000000000000002</v>
      </c>
      <c r="B18" s="1" t="s">
        <v>26</v>
      </c>
      <c r="C18" s="67">
        <f>C19/M8</f>
        <v>0.12628186845230746</v>
      </c>
      <c r="D18" s="67">
        <f>D19/N8</f>
        <v>0.10539064521589235</v>
      </c>
      <c r="K18" t="s">
        <v>82</v>
      </c>
      <c r="L18" s="57" t="s">
        <v>83</v>
      </c>
      <c r="M18" s="44">
        <v>448</v>
      </c>
      <c r="N18" s="44">
        <v>989</v>
      </c>
    </row>
    <row r="19" spans="1:14" x14ac:dyDescent="0.3">
      <c r="A19" s="17"/>
      <c r="B19" s="14" t="s">
        <v>27</v>
      </c>
      <c r="C19" s="66">
        <f>(M17+M73)</f>
        <v>59330</v>
      </c>
      <c r="D19" s="66">
        <f>(N17+N73)</f>
        <v>54169</v>
      </c>
      <c r="K19" t="s">
        <v>84</v>
      </c>
      <c r="L19" s="57">
        <v>-1809</v>
      </c>
      <c r="M19" s="44">
        <v>-1809</v>
      </c>
      <c r="N19" s="44">
        <v>-2367</v>
      </c>
    </row>
    <row r="20" spans="1:14" x14ac:dyDescent="0.3">
      <c r="A20" s="17">
        <f>+A18+0.1</f>
        <v>2.3000000000000003</v>
      </c>
      <c r="B20" s="1" t="s">
        <v>28</v>
      </c>
      <c r="C20" s="67">
        <f>C21/M8</f>
        <v>5.2992409891405683E-2</v>
      </c>
      <c r="D20" s="67">
        <f>D21/N8</f>
        <v>2.3829581912242232E-2</v>
      </c>
      <c r="K20" t="s">
        <v>85</v>
      </c>
      <c r="L20" s="57" t="s">
        <v>86</v>
      </c>
      <c r="M20" s="44">
        <v>14633</v>
      </c>
      <c r="N20" s="44">
        <v>-16806</v>
      </c>
    </row>
    <row r="21" spans="1:14" x14ac:dyDescent="0.3">
      <c r="A21" s="17"/>
      <c r="B21" s="14" t="s">
        <v>29</v>
      </c>
      <c r="C21" s="66">
        <f>M17</f>
        <v>24897</v>
      </c>
      <c r="D21" s="66">
        <f>N17</f>
        <v>12248</v>
      </c>
      <c r="K21" t="s">
        <v>87</v>
      </c>
      <c r="L21" s="57" t="s">
        <v>88</v>
      </c>
      <c r="M21" s="44"/>
      <c r="N21" s="44">
        <v>-18184</v>
      </c>
    </row>
    <row r="22" spans="1:14" x14ac:dyDescent="0.3">
      <c r="A22" s="17">
        <f>+A20+0.1</f>
        <v>2.4000000000000004</v>
      </c>
      <c r="B22" s="1" t="s">
        <v>30</v>
      </c>
      <c r="C22" s="67">
        <f>M25/M8</f>
        <v>7.1014128755145567E-2</v>
      </c>
      <c r="D22" s="67">
        <f>N25/N8</f>
        <v>-5.2958950004183018E-3</v>
      </c>
      <c r="K22" t="s">
        <v>89</v>
      </c>
      <c r="L22" s="57" t="s">
        <v>90</v>
      </c>
      <c r="M22" s="44"/>
      <c r="N22" s="44">
        <v>-5936</v>
      </c>
    </row>
    <row r="23" spans="1:14" x14ac:dyDescent="0.3">
      <c r="A23" s="17"/>
      <c r="K23" t="s">
        <v>91</v>
      </c>
      <c r="L23" s="57">
        <v>-4791</v>
      </c>
      <c r="M23" s="44"/>
      <c r="N23" s="44">
        <v>3217</v>
      </c>
    </row>
    <row r="24" spans="1:14" x14ac:dyDescent="0.3">
      <c r="A24" s="17">
        <f>+A16+1</f>
        <v>3</v>
      </c>
      <c r="B24" s="9" t="s">
        <v>31</v>
      </c>
      <c r="K24" t="s">
        <v>92</v>
      </c>
      <c r="L24" s="57" t="s">
        <v>93</v>
      </c>
      <c r="M24" s="44"/>
      <c r="N24" s="44">
        <v>-3</v>
      </c>
    </row>
    <row r="25" spans="1:14" x14ac:dyDescent="0.3">
      <c r="A25" s="17">
        <f>+A24+0.1</f>
        <v>3.1</v>
      </c>
      <c r="B25" s="1" t="s">
        <v>32</v>
      </c>
      <c r="C25" s="63">
        <f>(M64-M63)/M63</f>
        <v>2.0420557705522802</v>
      </c>
      <c r="D25" s="63">
        <f>(N64-N63)/N63</f>
        <v>2.1680737864875415</v>
      </c>
      <c r="K25" t="s">
        <v>94</v>
      </c>
      <c r="L25" s="57" t="s">
        <v>95</v>
      </c>
      <c r="M25" s="44">
        <v>33364</v>
      </c>
      <c r="N25" s="44">
        <v>-2722</v>
      </c>
    </row>
    <row r="26" spans="1:14" x14ac:dyDescent="0.3">
      <c r="A26" s="17">
        <f t="shared" ref="A26:A30" si="1">+A25+0.1</f>
        <v>3.2</v>
      </c>
      <c r="B26" s="1" t="s">
        <v>33</v>
      </c>
      <c r="C26" s="63">
        <f>(M64-M63)/M46</f>
        <v>0.67127492872412009</v>
      </c>
      <c r="D26" s="63">
        <f>(N64-N63)/N46</f>
        <v>0.68435078618900957</v>
      </c>
      <c r="L26" s="57"/>
      <c r="M26" s="44"/>
      <c r="N26" s="44"/>
    </row>
    <row r="27" spans="1:14" x14ac:dyDescent="0.3">
      <c r="A27" s="17">
        <f t="shared" si="1"/>
        <v>3.3000000000000003</v>
      </c>
      <c r="B27" s="1" t="s">
        <v>34</v>
      </c>
      <c r="C27" s="63">
        <f>(M64-M63)/M64</f>
        <v>0.67127492872412009</v>
      </c>
      <c r="D27" s="63">
        <f>(N64-N63)/N64</f>
        <v>0.68435078618900957</v>
      </c>
      <c r="K27" t="s">
        <v>96</v>
      </c>
      <c r="L27" s="57">
        <v>3.3</v>
      </c>
      <c r="M27" s="44"/>
      <c r="N27" s="44">
        <v>-0.27</v>
      </c>
    </row>
    <row r="28" spans="1:14" x14ac:dyDescent="0.3">
      <c r="A28" s="17">
        <f t="shared" si="1"/>
        <v>3.4000000000000004</v>
      </c>
      <c r="B28" s="1" t="s">
        <v>35</v>
      </c>
      <c r="C28" s="49">
        <f>M17/-M19</f>
        <v>13.76285240464345</v>
      </c>
      <c r="D28" s="49">
        <f>N17/-N19</f>
        <v>5.1744824672581329</v>
      </c>
      <c r="K28" t="s">
        <v>97</v>
      </c>
      <c r="L28" s="57">
        <v>3.24</v>
      </c>
      <c r="M28" s="44"/>
      <c r="N28" s="44">
        <v>-0.27</v>
      </c>
    </row>
    <row r="29" spans="1:14" x14ac:dyDescent="0.3">
      <c r="A29" s="17">
        <f t="shared" si="1"/>
        <v>3.5000000000000004</v>
      </c>
      <c r="B29" s="1" t="s">
        <v>36</v>
      </c>
      <c r="C29" s="63">
        <f>M17/M52</f>
        <v>0.17500316308886171</v>
      </c>
      <c r="D29" s="63">
        <f>N17/N52</f>
        <v>7.8819509244303157E-2</v>
      </c>
      <c r="K29" t="s">
        <v>98</v>
      </c>
      <c r="L29" s="57"/>
      <c r="M29" s="44"/>
      <c r="N29" s="44"/>
    </row>
    <row r="30" spans="1:14" x14ac:dyDescent="0.3">
      <c r="A30" s="17">
        <f t="shared" si="1"/>
        <v>3.6000000000000005</v>
      </c>
      <c r="B30" s="1" t="s">
        <v>37</v>
      </c>
      <c r="C30" s="63">
        <f>C31/(C53)</f>
        <v>3.6055154690125533</v>
      </c>
      <c r="D30" s="63">
        <f>D31/(D53)</f>
        <v>5.324663853174993</v>
      </c>
      <c r="K30" t="s">
        <v>99</v>
      </c>
      <c r="L30" s="57">
        <v>10117</v>
      </c>
      <c r="M30" s="44"/>
      <c r="N30" s="44">
        <v>10189</v>
      </c>
    </row>
    <row r="31" spans="1:14" x14ac:dyDescent="0.3">
      <c r="A31" s="17"/>
      <c r="B31" s="14" t="s">
        <v>38</v>
      </c>
      <c r="C31" s="66">
        <f>M104</f>
        <v>36477</v>
      </c>
      <c r="D31" s="66">
        <f>N104</f>
        <v>54253</v>
      </c>
      <c r="K31" t="s">
        <v>100</v>
      </c>
      <c r="L31" s="57">
        <v>10296</v>
      </c>
      <c r="M31" s="44"/>
      <c r="N31" s="44">
        <v>10189</v>
      </c>
    </row>
    <row r="32" spans="1:14" x14ac:dyDescent="0.3">
      <c r="A32" s="17"/>
      <c r="L32" s="58"/>
      <c r="M32" s="10"/>
      <c r="N32" s="10"/>
    </row>
    <row r="33" spans="1:14" x14ac:dyDescent="0.3">
      <c r="A33" s="17">
        <f>+A24+1</f>
        <v>4</v>
      </c>
      <c r="B33" s="18" t="s">
        <v>39</v>
      </c>
      <c r="K33" s="53" t="s">
        <v>12</v>
      </c>
      <c r="L33" s="59"/>
      <c r="M33" s="54"/>
      <c r="N33" s="54"/>
    </row>
    <row r="34" spans="1:14" x14ac:dyDescent="0.3">
      <c r="A34" s="17">
        <f>+A33+0.1</f>
        <v>4.0999999999999996</v>
      </c>
      <c r="B34" s="1" t="s">
        <v>40</v>
      </c>
      <c r="C34" s="63">
        <f>M8/M46</f>
        <v>1.1171635172120253</v>
      </c>
      <c r="D34" s="63">
        <f>N8/N46</f>
        <v>1.1108942562273734</v>
      </c>
      <c r="L34" s="60" t="s">
        <v>57</v>
      </c>
      <c r="M34" s="13"/>
      <c r="N34" s="13"/>
    </row>
    <row r="35" spans="1:14" x14ac:dyDescent="0.3">
      <c r="A35" s="17">
        <f t="shared" ref="A35:A37" si="2">+A34+0.1</f>
        <v>4.1999999999999993</v>
      </c>
      <c r="B35" s="1" t="s">
        <v>41</v>
      </c>
      <c r="C35" s="63">
        <f>M8/(M46-M41)</f>
        <v>1.8142016998173527</v>
      </c>
      <c r="D35" s="63">
        <f>N8/(N46-N41)</f>
        <v>1.6271257803497488</v>
      </c>
      <c r="L35" s="56">
        <v>2021</v>
      </c>
      <c r="M35" s="52"/>
      <c r="N35" s="52">
        <v>2022</v>
      </c>
    </row>
    <row r="36" spans="1:14" x14ac:dyDescent="0.3">
      <c r="A36" s="17">
        <f t="shared" si="2"/>
        <v>4.2999999999999989</v>
      </c>
      <c r="B36" s="1" t="s">
        <v>42</v>
      </c>
      <c r="C36" s="63">
        <f>M10/M39</f>
        <v>8.3438725490196077</v>
      </c>
      <c r="D36" s="63">
        <f>N10/N39</f>
        <v>8.3950297921813686</v>
      </c>
      <c r="K36" t="s">
        <v>101</v>
      </c>
      <c r="L36" s="58"/>
      <c r="M36" s="10"/>
      <c r="N36" s="10"/>
    </row>
    <row r="37" spans="1:14" x14ac:dyDescent="0.3">
      <c r="A37" s="17">
        <f t="shared" si="2"/>
        <v>4.3999999999999986</v>
      </c>
      <c r="B37" s="1" t="s">
        <v>43</v>
      </c>
      <c r="C37" s="63">
        <f>M25/M46</f>
        <v>7.9334393851846041E-2</v>
      </c>
      <c r="D37" s="63">
        <f>N25/N46</f>
        <v>-5.8831793375479545E-3</v>
      </c>
      <c r="K37" t="s">
        <v>102</v>
      </c>
      <c r="L37" s="58" t="s">
        <v>103</v>
      </c>
      <c r="M37" s="10">
        <v>36220</v>
      </c>
      <c r="N37" s="10">
        <v>53888</v>
      </c>
    </row>
    <row r="38" spans="1:14" x14ac:dyDescent="0.3">
      <c r="A38" s="17"/>
      <c r="K38" t="s">
        <v>104</v>
      </c>
      <c r="L38" s="58" t="s">
        <v>105</v>
      </c>
      <c r="M38" s="10">
        <v>59829</v>
      </c>
      <c r="N38" s="10">
        <v>16138</v>
      </c>
    </row>
    <row r="39" spans="1:14" x14ac:dyDescent="0.3">
      <c r="A39" s="17">
        <f>+A33+1</f>
        <v>5</v>
      </c>
      <c r="B39" s="18" t="s">
        <v>44</v>
      </c>
      <c r="K39" t="s">
        <v>106</v>
      </c>
      <c r="L39" s="58" t="s">
        <v>107</v>
      </c>
      <c r="M39" s="10">
        <v>32640</v>
      </c>
      <c r="N39" s="10">
        <v>34405</v>
      </c>
    </row>
    <row r="40" spans="1:14" x14ac:dyDescent="0.3">
      <c r="A40" s="17">
        <f>+A39+0.1</f>
        <v>5.0999999999999996</v>
      </c>
      <c r="B40" s="1" t="s">
        <v>45</v>
      </c>
      <c r="C40" s="65">
        <f>C54/C41</f>
        <v>50.554676897254531</v>
      </c>
      <c r="D40" s="65">
        <f>D54/D41</f>
        <v>-314.42909625275536</v>
      </c>
      <c r="K40" t="s">
        <v>108</v>
      </c>
      <c r="L40" s="58" t="s">
        <v>109</v>
      </c>
      <c r="M40" s="10">
        <v>32891</v>
      </c>
      <c r="N40" s="10">
        <v>42360</v>
      </c>
    </row>
    <row r="41" spans="1:14" x14ac:dyDescent="0.3">
      <c r="A41" s="17">
        <f t="shared" ref="A41:A44" si="3">+A40+0.1</f>
        <v>5.1999999999999993</v>
      </c>
      <c r="B41" s="14" t="s">
        <v>46</v>
      </c>
      <c r="C41" s="65">
        <f>M25/(C53)</f>
        <v>3.2978155579717305</v>
      </c>
      <c r="D41" s="65">
        <f>N25/(D53)</f>
        <v>-0.2671508489547551</v>
      </c>
      <c r="K41" t="s">
        <v>110</v>
      </c>
      <c r="L41" s="58" t="s">
        <v>111</v>
      </c>
      <c r="M41" s="10">
        <v>161580</v>
      </c>
      <c r="N41" s="10">
        <v>146791</v>
      </c>
    </row>
    <row r="42" spans="1:14" x14ac:dyDescent="0.3">
      <c r="A42" s="17">
        <f t="shared" si="3"/>
        <v>5.2999999999999989</v>
      </c>
      <c r="B42" s="1" t="s">
        <v>47</v>
      </c>
      <c r="C42" s="55">
        <f>C54/C43</f>
        <v>12.200848059604326</v>
      </c>
      <c r="D42" s="55">
        <f>D54/D43</f>
        <v>5.8604383640434667</v>
      </c>
      <c r="K42" t="s">
        <v>112</v>
      </c>
      <c r="L42" s="58" t="s">
        <v>113</v>
      </c>
      <c r="M42" s="10"/>
      <c r="N42" s="10">
        <v>186715</v>
      </c>
    </row>
    <row r="43" spans="1:14" x14ac:dyDescent="0.3">
      <c r="A43" s="17">
        <f t="shared" si="3"/>
        <v>5.3999999999999986</v>
      </c>
      <c r="B43" s="14" t="s">
        <v>48</v>
      </c>
      <c r="C43" s="65">
        <f>M63/C53</f>
        <v>13.66462390036572</v>
      </c>
      <c r="D43" s="65">
        <f>N63/D53</f>
        <v>14.333398763372264</v>
      </c>
      <c r="K43" t="s">
        <v>114</v>
      </c>
      <c r="L43" s="58" t="s">
        <v>115</v>
      </c>
      <c r="M43" s="10"/>
      <c r="N43" s="10">
        <v>66123</v>
      </c>
    </row>
    <row r="44" spans="1:14" x14ac:dyDescent="0.3">
      <c r="A44" s="17">
        <f t="shared" si="3"/>
        <v>5.4999999999999982</v>
      </c>
      <c r="B44" s="1" t="s">
        <v>49</v>
      </c>
      <c r="C44" s="21" t="s">
        <v>204</v>
      </c>
      <c r="D44" s="21" t="s">
        <v>204</v>
      </c>
      <c r="K44" t="s">
        <v>116</v>
      </c>
      <c r="L44" s="58" t="s">
        <v>117</v>
      </c>
      <c r="M44" s="10"/>
      <c r="N44" s="10">
        <v>20288</v>
      </c>
    </row>
    <row r="45" spans="1:14" x14ac:dyDescent="0.3">
      <c r="A45" s="17"/>
      <c r="B45" s="14" t="s">
        <v>50</v>
      </c>
      <c r="C45" s="21" t="s">
        <v>204</v>
      </c>
      <c r="D45" s="21" t="s">
        <v>204</v>
      </c>
      <c r="K45" t="s">
        <v>118</v>
      </c>
      <c r="L45" s="58" t="s">
        <v>119</v>
      </c>
      <c r="M45" s="10"/>
      <c r="N45" s="10">
        <v>42758</v>
      </c>
    </row>
    <row r="46" spans="1:14" x14ac:dyDescent="0.3">
      <c r="A46" s="17">
        <f>+A44+0.1</f>
        <v>5.5999999999999979</v>
      </c>
      <c r="B46" s="1" t="s">
        <v>51</v>
      </c>
      <c r="C46" s="21" t="s">
        <v>204</v>
      </c>
      <c r="D46" s="21" t="s">
        <v>204</v>
      </c>
      <c r="K46" t="s">
        <v>120</v>
      </c>
      <c r="L46" s="58" t="s">
        <v>121</v>
      </c>
      <c r="M46" s="10">
        <v>420549</v>
      </c>
      <c r="N46" s="10">
        <v>462675</v>
      </c>
    </row>
    <row r="47" spans="1:14" x14ac:dyDescent="0.3">
      <c r="A47" s="17">
        <f t="shared" ref="A47:A50" si="4">+A45+0.1</f>
        <v>0.1</v>
      </c>
      <c r="B47" s="1" t="s">
        <v>52</v>
      </c>
      <c r="C47" s="63">
        <f>M25/M63</f>
        <v>0.2413396506202756</v>
      </c>
      <c r="D47" s="63">
        <f>N25/N63</f>
        <v>-1.8638346240490815E-2</v>
      </c>
      <c r="L47" s="58"/>
      <c r="M47" s="10"/>
      <c r="N47" s="10"/>
    </row>
    <row r="48" spans="1:14" x14ac:dyDescent="0.3">
      <c r="A48" s="17">
        <f t="shared" si="4"/>
        <v>5.6999999999999975</v>
      </c>
      <c r="B48" s="1" t="s">
        <v>53</v>
      </c>
      <c r="C48" s="63">
        <f>M25/(M64-M52)</f>
        <v>0.1198923398123493</v>
      </c>
      <c r="D48" s="63">
        <f>N25/(N64-N52)</f>
        <v>-8.8583125597984907E-3</v>
      </c>
      <c r="K48" t="s">
        <v>122</v>
      </c>
      <c r="L48" s="58"/>
      <c r="M48" s="10"/>
      <c r="N48" s="10"/>
    </row>
    <row r="49" spans="1:14" x14ac:dyDescent="0.3">
      <c r="A49" s="17">
        <f t="shared" si="4"/>
        <v>0.2</v>
      </c>
      <c r="B49" s="1" t="s">
        <v>43</v>
      </c>
      <c r="C49" s="63">
        <f>C37</f>
        <v>7.9334393851846041E-2</v>
      </c>
      <c r="D49" s="63">
        <f>D37</f>
        <v>-5.8831793375479545E-3</v>
      </c>
      <c r="K49" t="s">
        <v>123</v>
      </c>
      <c r="L49" s="58" t="s">
        <v>124</v>
      </c>
      <c r="M49" s="10">
        <v>78664</v>
      </c>
      <c r="N49" s="10">
        <v>79600</v>
      </c>
    </row>
    <row r="50" spans="1:14" x14ac:dyDescent="0.3">
      <c r="A50" s="17">
        <f t="shared" si="4"/>
        <v>5.7999999999999972</v>
      </c>
      <c r="B50" s="1" t="s">
        <v>54</v>
      </c>
      <c r="C50" s="63">
        <f>C51/(M17+M73)</f>
        <v>28.640320916905445</v>
      </c>
      <c r="D50" s="63">
        <f>D51/(N17+N73)</f>
        <v>16.044933449020657</v>
      </c>
      <c r="K50" t="s">
        <v>125</v>
      </c>
      <c r="L50" s="58" t="s">
        <v>126</v>
      </c>
      <c r="M50" s="10"/>
      <c r="N50" s="10">
        <v>62566</v>
      </c>
    </row>
    <row r="51" spans="1:14" x14ac:dyDescent="0.3">
      <c r="A51" s="17"/>
      <c r="B51" s="14" t="s">
        <v>55</v>
      </c>
      <c r="C51" s="49">
        <f>(C53*C54)+M54-M37</f>
        <v>1699230.24</v>
      </c>
      <c r="D51" s="49">
        <f>(D53*D54)+N54-N37</f>
        <v>869138</v>
      </c>
      <c r="K51" t="s">
        <v>127</v>
      </c>
      <c r="L51" s="58" t="s">
        <v>128</v>
      </c>
      <c r="M51" s="10"/>
      <c r="N51" s="10">
        <v>13277</v>
      </c>
    </row>
    <row r="52" spans="1:14" x14ac:dyDescent="0.3">
      <c r="K52" t="s">
        <v>129</v>
      </c>
      <c r="L52" s="58" t="s">
        <v>130</v>
      </c>
      <c r="M52" s="10">
        <v>142266</v>
      </c>
      <c r="N52" s="10">
        <v>155393</v>
      </c>
    </row>
    <row r="53" spans="1:14" x14ac:dyDescent="0.3">
      <c r="B53" s="1" t="s">
        <v>203</v>
      </c>
      <c r="C53" s="10">
        <v>10117</v>
      </c>
      <c r="D53" s="10">
        <v>10189</v>
      </c>
      <c r="K53" t="s">
        <v>131</v>
      </c>
      <c r="L53" s="58" t="s">
        <v>132</v>
      </c>
      <c r="M53" s="10"/>
      <c r="N53" s="10">
        <v>72968</v>
      </c>
    </row>
    <row r="54" spans="1:14" x14ac:dyDescent="0.3">
      <c r="B54" s="1" t="s">
        <v>202</v>
      </c>
      <c r="C54" s="39">
        <v>166.72</v>
      </c>
      <c r="D54" s="39">
        <v>84</v>
      </c>
      <c r="K54" t="s">
        <v>133</v>
      </c>
      <c r="L54" s="58" t="s">
        <v>134</v>
      </c>
      <c r="M54" s="10">
        <v>48744</v>
      </c>
      <c r="N54" s="10">
        <v>67150</v>
      </c>
    </row>
    <row r="55" spans="1:14" x14ac:dyDescent="0.3">
      <c r="K55" t="s">
        <v>135</v>
      </c>
      <c r="L55" s="58" t="s">
        <v>136</v>
      </c>
      <c r="M55" s="10"/>
      <c r="N55" s="10">
        <v>21121</v>
      </c>
    </row>
    <row r="56" spans="1:14" x14ac:dyDescent="0.3">
      <c r="K56" t="s">
        <v>137</v>
      </c>
      <c r="L56" s="58"/>
      <c r="M56" s="10"/>
      <c r="N56" s="10"/>
    </row>
    <row r="57" spans="1:14" ht="45.6" customHeight="1" x14ac:dyDescent="0.3">
      <c r="K57" t="s">
        <v>147</v>
      </c>
      <c r="L57" s="58">
        <v>0</v>
      </c>
      <c r="M57" s="10"/>
      <c r="N57" s="10">
        <v>0</v>
      </c>
    </row>
    <row r="58" spans="1:14" ht="30.6" customHeight="1" x14ac:dyDescent="0.3">
      <c r="K58" t="s">
        <v>148</v>
      </c>
      <c r="L58" s="58">
        <v>106</v>
      </c>
      <c r="M58" s="10"/>
      <c r="N58" s="10">
        <v>108</v>
      </c>
    </row>
    <row r="59" spans="1:14" x14ac:dyDescent="0.3">
      <c r="K59" t="s">
        <v>138</v>
      </c>
      <c r="L59" s="58">
        <v>-1837</v>
      </c>
      <c r="M59" s="10"/>
      <c r="N59" s="10">
        <v>-7837</v>
      </c>
    </row>
    <row r="60" spans="1:14" x14ac:dyDescent="0.3">
      <c r="K60" t="s">
        <v>139</v>
      </c>
      <c r="L60" s="58" t="s">
        <v>140</v>
      </c>
      <c r="M60" s="10"/>
      <c r="N60" s="10">
        <v>75066</v>
      </c>
    </row>
    <row r="61" spans="1:14" x14ac:dyDescent="0.3">
      <c r="K61" t="s">
        <v>141</v>
      </c>
      <c r="L61" s="58">
        <v>-1376</v>
      </c>
      <c r="M61" s="10"/>
      <c r="N61" s="10">
        <v>-4487</v>
      </c>
    </row>
    <row r="62" spans="1:14" x14ac:dyDescent="0.3">
      <c r="K62" t="s">
        <v>142</v>
      </c>
      <c r="L62" s="58" t="s">
        <v>143</v>
      </c>
      <c r="M62" s="10"/>
      <c r="N62" s="10">
        <v>83193</v>
      </c>
    </row>
    <row r="63" spans="1:14" x14ac:dyDescent="0.3">
      <c r="K63" t="s">
        <v>144</v>
      </c>
      <c r="L63" s="58" t="s">
        <v>145</v>
      </c>
      <c r="M63" s="10">
        <v>138245</v>
      </c>
      <c r="N63" s="10">
        <v>146043</v>
      </c>
    </row>
    <row r="64" spans="1:14" x14ac:dyDescent="0.3">
      <c r="K64" t="s">
        <v>146</v>
      </c>
      <c r="L64" s="58" t="s">
        <v>121</v>
      </c>
      <c r="M64" s="10">
        <v>420549</v>
      </c>
      <c r="N64" s="10">
        <v>462675</v>
      </c>
    </row>
    <row r="65" spans="11:14" x14ac:dyDescent="0.3">
      <c r="L65" s="58"/>
      <c r="M65" s="10"/>
      <c r="N65" s="10"/>
    </row>
    <row r="66" spans="11:14" x14ac:dyDescent="0.3">
      <c r="K66" s="53" t="s">
        <v>13</v>
      </c>
      <c r="L66" s="59"/>
      <c r="M66" s="54"/>
      <c r="N66" s="54"/>
    </row>
    <row r="67" spans="11:14" x14ac:dyDescent="0.3">
      <c r="L67" s="60" t="s">
        <v>56</v>
      </c>
      <c r="M67" s="13"/>
      <c r="N67" s="13"/>
    </row>
    <row r="68" spans="11:14" x14ac:dyDescent="0.3">
      <c r="L68" s="56">
        <v>2021</v>
      </c>
      <c r="M68" s="52"/>
      <c r="N68" s="52">
        <v>2022</v>
      </c>
    </row>
    <row r="69" spans="11:14" x14ac:dyDescent="0.3">
      <c r="K69" t="s">
        <v>149</v>
      </c>
      <c r="L69" s="58">
        <v>42377</v>
      </c>
      <c r="M69" s="10"/>
      <c r="N69" s="10">
        <v>36477</v>
      </c>
    </row>
    <row r="70" spans="11:14" x14ac:dyDescent="0.3">
      <c r="K70" t="s">
        <v>150</v>
      </c>
      <c r="L70" s="58"/>
      <c r="M70" s="10"/>
      <c r="N70" s="10"/>
    </row>
    <row r="71" spans="11:14" x14ac:dyDescent="0.3">
      <c r="K71" t="s">
        <v>151</v>
      </c>
      <c r="L71" s="58">
        <v>33364</v>
      </c>
      <c r="M71" s="10"/>
      <c r="N71" s="10">
        <v>-2722</v>
      </c>
    </row>
    <row r="72" spans="11:14" ht="29.4" customHeight="1" x14ac:dyDescent="0.3">
      <c r="K72" t="s">
        <v>152</v>
      </c>
      <c r="L72" s="58"/>
      <c r="M72" s="10"/>
      <c r="N72" s="10"/>
    </row>
    <row r="73" spans="11:14" ht="31.2" customHeight="1" x14ac:dyDescent="0.3">
      <c r="K73" t="s">
        <v>153</v>
      </c>
      <c r="L73" s="58">
        <v>34433</v>
      </c>
      <c r="M73" s="10">
        <v>34433</v>
      </c>
      <c r="N73" s="10">
        <v>41921</v>
      </c>
    </row>
    <row r="74" spans="11:14" x14ac:dyDescent="0.3">
      <c r="K74" t="s">
        <v>154</v>
      </c>
      <c r="L74" s="58">
        <v>12757</v>
      </c>
      <c r="M74" s="10"/>
      <c r="N74" s="10">
        <v>19621</v>
      </c>
    </row>
    <row r="75" spans="11:14" x14ac:dyDescent="0.3">
      <c r="K75" t="s">
        <v>155</v>
      </c>
      <c r="L75" s="58">
        <v>-14306</v>
      </c>
      <c r="M75" s="10"/>
      <c r="N75" s="10">
        <v>16966</v>
      </c>
    </row>
    <row r="76" spans="11:14" x14ac:dyDescent="0.3">
      <c r="K76" t="s">
        <v>156</v>
      </c>
      <c r="L76" s="58">
        <v>-310</v>
      </c>
      <c r="M76" s="10"/>
      <c r="N76" s="10">
        <v>-8148</v>
      </c>
    </row>
    <row r="77" spans="11:14" x14ac:dyDescent="0.3">
      <c r="K77" t="s">
        <v>157</v>
      </c>
      <c r="L77" s="58"/>
      <c r="M77" s="10"/>
      <c r="N77" s="10"/>
    </row>
    <row r="78" spans="11:14" x14ac:dyDescent="0.3">
      <c r="K78" t="s">
        <v>106</v>
      </c>
      <c r="L78" s="58">
        <v>-9487</v>
      </c>
      <c r="M78" s="10"/>
      <c r="N78" s="10">
        <v>-2592</v>
      </c>
    </row>
    <row r="79" spans="11:14" x14ac:dyDescent="0.3">
      <c r="K79" t="s">
        <v>108</v>
      </c>
      <c r="L79" s="58">
        <v>-18163</v>
      </c>
      <c r="M79" s="10"/>
      <c r="N79" s="10">
        <v>-21897</v>
      </c>
    </row>
    <row r="80" spans="11:14" x14ac:dyDescent="0.3">
      <c r="K80" t="s">
        <v>123</v>
      </c>
      <c r="L80" s="58">
        <v>3602</v>
      </c>
      <c r="M80" s="10"/>
      <c r="N80" s="10">
        <v>2945</v>
      </c>
    </row>
    <row r="81" spans="11:14" x14ac:dyDescent="0.3">
      <c r="K81" t="s">
        <v>125</v>
      </c>
      <c r="L81" s="58">
        <v>2123</v>
      </c>
      <c r="M81" s="10"/>
      <c r="N81" s="10">
        <v>-1558</v>
      </c>
    </row>
    <row r="82" spans="11:14" x14ac:dyDescent="0.3">
      <c r="K82" t="s">
        <v>127</v>
      </c>
      <c r="L82" s="58">
        <v>2314</v>
      </c>
      <c r="M82" s="10"/>
      <c r="N82" s="10">
        <v>2216</v>
      </c>
    </row>
    <row r="83" spans="11:14" x14ac:dyDescent="0.3">
      <c r="K83" t="s">
        <v>158</v>
      </c>
      <c r="L83" s="58">
        <v>46327</v>
      </c>
      <c r="M83" s="10"/>
      <c r="N83" s="10">
        <v>46752</v>
      </c>
    </row>
    <row r="84" spans="11:14" x14ac:dyDescent="0.3">
      <c r="L84" s="58"/>
      <c r="M84" s="10"/>
      <c r="N84" s="10"/>
    </row>
    <row r="85" spans="11:14" x14ac:dyDescent="0.3">
      <c r="K85" t="s">
        <v>159</v>
      </c>
      <c r="L85" s="58"/>
      <c r="M85" s="10"/>
      <c r="N85" s="10"/>
    </row>
    <row r="86" spans="11:14" x14ac:dyDescent="0.3">
      <c r="K86" t="s">
        <v>160</v>
      </c>
      <c r="L86" s="58">
        <v>-61053</v>
      </c>
      <c r="M86" s="10"/>
      <c r="N86" s="10">
        <v>-63645</v>
      </c>
    </row>
    <row r="87" spans="11:14" x14ac:dyDescent="0.3">
      <c r="K87" t="s">
        <v>161</v>
      </c>
      <c r="L87" s="58">
        <v>5657</v>
      </c>
      <c r="M87" s="10"/>
      <c r="N87" s="10">
        <v>5324</v>
      </c>
    </row>
    <row r="88" spans="11:14" x14ac:dyDescent="0.3">
      <c r="K88" t="s">
        <v>162</v>
      </c>
      <c r="L88" s="58">
        <v>-1985</v>
      </c>
      <c r="M88" s="10"/>
      <c r="N88" s="10">
        <v>-8316</v>
      </c>
    </row>
    <row r="89" spans="11:14" x14ac:dyDescent="0.3">
      <c r="K89" t="s">
        <v>163</v>
      </c>
      <c r="L89" s="58">
        <v>59384</v>
      </c>
      <c r="M89" s="10"/>
      <c r="N89" s="10">
        <v>31601</v>
      </c>
    </row>
    <row r="90" spans="11:14" x14ac:dyDescent="0.3">
      <c r="K90" t="s">
        <v>164</v>
      </c>
      <c r="L90" s="58">
        <v>-60157</v>
      </c>
      <c r="M90" s="10"/>
      <c r="N90" s="10">
        <v>-2565</v>
      </c>
    </row>
    <row r="91" spans="11:14" x14ac:dyDescent="0.3">
      <c r="K91" t="s">
        <v>165</v>
      </c>
      <c r="L91" s="58">
        <v>-58154</v>
      </c>
      <c r="M91" s="10"/>
      <c r="N91" s="10">
        <v>-37601</v>
      </c>
    </row>
    <row r="92" spans="11:14" x14ac:dyDescent="0.3">
      <c r="L92" s="58"/>
      <c r="M92" s="10"/>
      <c r="N92" s="10"/>
    </row>
    <row r="93" spans="11:14" x14ac:dyDescent="0.3">
      <c r="K93" t="s">
        <v>166</v>
      </c>
      <c r="L93" s="58"/>
      <c r="M93" s="10"/>
      <c r="N93" s="10"/>
    </row>
    <row r="94" spans="11:14" x14ac:dyDescent="0.3">
      <c r="K94" t="s">
        <v>167</v>
      </c>
      <c r="L94" s="58">
        <v>0</v>
      </c>
      <c r="M94" s="10"/>
      <c r="N94" s="10">
        <v>-6000</v>
      </c>
    </row>
    <row r="95" spans="11:14" x14ac:dyDescent="0.3">
      <c r="K95" t="s">
        <v>168</v>
      </c>
      <c r="L95" s="58">
        <v>7956</v>
      </c>
      <c r="M95" s="10"/>
      <c r="N95" s="10">
        <v>41553</v>
      </c>
    </row>
    <row r="96" spans="11:14" x14ac:dyDescent="0.3">
      <c r="K96" t="s">
        <v>169</v>
      </c>
      <c r="L96" s="58">
        <v>-7753</v>
      </c>
      <c r="M96" s="10"/>
      <c r="N96" s="10">
        <v>-37554</v>
      </c>
    </row>
    <row r="97" spans="11:14" x14ac:dyDescent="0.3">
      <c r="K97" t="s">
        <v>170</v>
      </c>
      <c r="L97" s="58">
        <v>19003</v>
      </c>
      <c r="M97" s="10"/>
      <c r="N97" s="10">
        <v>21166</v>
      </c>
    </row>
    <row r="98" spans="11:14" x14ac:dyDescent="0.3">
      <c r="K98" t="s">
        <v>171</v>
      </c>
      <c r="L98" s="58">
        <v>-1590</v>
      </c>
      <c r="M98" s="10"/>
      <c r="N98" s="10">
        <v>-1258</v>
      </c>
    </row>
    <row r="99" spans="11:14" x14ac:dyDescent="0.3">
      <c r="K99" t="s">
        <v>172</v>
      </c>
      <c r="L99" s="58">
        <v>-11163</v>
      </c>
      <c r="M99" s="10"/>
      <c r="N99" s="10">
        <v>-7941</v>
      </c>
    </row>
    <row r="100" spans="11:14" x14ac:dyDescent="0.3">
      <c r="K100" t="s">
        <v>173</v>
      </c>
      <c r="L100" s="58">
        <v>-162</v>
      </c>
      <c r="M100" s="10"/>
      <c r="N100" s="10">
        <v>-248</v>
      </c>
    </row>
    <row r="101" spans="11:14" x14ac:dyDescent="0.3">
      <c r="K101" t="s">
        <v>174</v>
      </c>
      <c r="L101" s="58">
        <v>6291</v>
      </c>
      <c r="M101" s="10"/>
      <c r="N101" s="10">
        <v>9718</v>
      </c>
    </row>
    <row r="102" spans="11:14" x14ac:dyDescent="0.3">
      <c r="K102" t="s">
        <v>175</v>
      </c>
      <c r="L102" s="58">
        <v>-364</v>
      </c>
      <c r="M102" s="10"/>
      <c r="N102" s="10">
        <v>-1093</v>
      </c>
    </row>
    <row r="103" spans="11:14" x14ac:dyDescent="0.3">
      <c r="K103" t="s">
        <v>176</v>
      </c>
      <c r="L103" s="58">
        <v>-5900</v>
      </c>
      <c r="M103" s="10"/>
      <c r="N103" s="10">
        <v>17776</v>
      </c>
    </row>
    <row r="104" spans="11:14" x14ac:dyDescent="0.3">
      <c r="K104" t="s">
        <v>177</v>
      </c>
      <c r="L104" s="58">
        <v>36477</v>
      </c>
      <c r="M104" s="10">
        <v>36477</v>
      </c>
      <c r="N104" s="10">
        <v>54253</v>
      </c>
    </row>
  </sheetData>
  <mergeCells count="2">
    <mergeCell ref="L4:N4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2020-05-19T16:15:53Z</dcterms:created>
  <dcterms:modified xsi:type="dcterms:W3CDTF">2024-09-22T19:37:43Z</dcterms:modified>
</cp:coreProperties>
</file>