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85228adf12184044/Documents/Quill Training/"/>
    </mc:Choice>
  </mc:AlternateContent>
  <xr:revisionPtr revIDLastSave="2146" documentId="8_{59C1A213-F505-41F3-9CF3-6865CCD1A20A}" xr6:coauthVersionLast="47" xr6:coauthVersionMax="47" xr10:uidLastSave="{13173349-33D8-4625-AC58-417400206316}"/>
  <bookViews>
    <workbookView xWindow="-108" yWindow="-108" windowWidth="23256" windowHeight="12456" activeTab="2" xr2:uid="{00000000-000D-0000-FFFF-FFFF00000000}"/>
  </bookViews>
  <sheets>
    <sheet name="Instructions" sheetId="1" r:id="rId1"/>
    <sheet name="Marriott Drivers" sheetId="8" r:id="rId2"/>
    <sheet name="Johnson &amp; Johnson Drivers" sheetId="10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8" l="1"/>
  <c r="N16" i="8"/>
  <c r="N17" i="8"/>
  <c r="N18" i="8"/>
  <c r="N19" i="8"/>
  <c r="N20" i="8"/>
  <c r="N15" i="8"/>
  <c r="M16" i="8"/>
  <c r="M17" i="8"/>
  <c r="M18" i="8"/>
  <c r="M19" i="8"/>
  <c r="M20" i="8"/>
  <c r="M21" i="8"/>
  <c r="M15" i="8"/>
  <c r="L21" i="8"/>
  <c r="L20" i="8"/>
  <c r="L19" i="8"/>
  <c r="L18" i="8"/>
  <c r="L17" i="8"/>
  <c r="L16" i="8"/>
  <c r="L15" i="8"/>
  <c r="H16" i="8"/>
  <c r="H17" i="8"/>
  <c r="H18" i="8"/>
  <c r="H19" i="8"/>
  <c r="H20" i="8"/>
  <c r="H21" i="8"/>
  <c r="G16" i="8"/>
  <c r="G17" i="8"/>
  <c r="G18" i="8"/>
  <c r="G19" i="8"/>
  <c r="G20" i="8"/>
  <c r="G21" i="8"/>
  <c r="H15" i="8"/>
  <c r="G15" i="8"/>
  <c r="C54" i="8"/>
  <c r="B54" i="8"/>
  <c r="P5" i="10"/>
  <c r="D16" i="10"/>
  <c r="E16" i="10"/>
  <c r="E30" i="10"/>
  <c r="I24" i="10" s="1"/>
  <c r="D30" i="10"/>
  <c r="H24" i="10" s="1"/>
  <c r="C13" i="10"/>
  <c r="C14" i="10"/>
  <c r="C15" i="10"/>
  <c r="C12" i="10"/>
  <c r="F13" i="10"/>
  <c r="F14" i="10"/>
  <c r="F15" i="10"/>
  <c r="F12" i="10"/>
  <c r="C5" i="10"/>
  <c r="C6" i="10"/>
  <c r="C7" i="10"/>
  <c r="C8" i="10"/>
  <c r="C9" i="10"/>
  <c r="C10" i="10"/>
  <c r="F6" i="10"/>
  <c r="F7" i="10"/>
  <c r="F8" i="10"/>
  <c r="B8" i="10" s="1"/>
  <c r="F9" i="10"/>
  <c r="B9" i="10" s="1"/>
  <c r="F10" i="10"/>
  <c r="B10" i="10" s="1"/>
  <c r="F5" i="10"/>
  <c r="B5" i="10" s="1"/>
  <c r="C48" i="8"/>
  <c r="C49" i="8" s="1"/>
  <c r="B48" i="8"/>
  <c r="B49" i="8" s="1"/>
  <c r="C42" i="8"/>
  <c r="C43" i="8" s="1"/>
  <c r="B42" i="8"/>
  <c r="B43" i="8" s="1"/>
  <c r="C27" i="8"/>
  <c r="C28" i="8" s="1"/>
  <c r="B27" i="8"/>
  <c r="B28" i="8" s="1"/>
  <c r="E22" i="8"/>
  <c r="I18" i="8" s="1"/>
  <c r="F22" i="8"/>
  <c r="J21" i="8" s="1"/>
  <c r="C12" i="8"/>
  <c r="C13" i="8" s="1"/>
  <c r="F5" i="8" s="1"/>
  <c r="B12" i="8"/>
  <c r="B13" i="8" s="1"/>
  <c r="Q5" i="8"/>
  <c r="G8" i="8"/>
  <c r="G7" i="8"/>
  <c r="G6" i="8"/>
  <c r="G5" i="8"/>
  <c r="C16" i="10" l="1"/>
  <c r="I9" i="10" s="1"/>
  <c r="K5" i="10"/>
  <c r="O5" i="10"/>
  <c r="K15" i="10"/>
  <c r="I23" i="10"/>
  <c r="H23" i="10"/>
  <c r="I28" i="10"/>
  <c r="H22" i="10"/>
  <c r="H25" i="10"/>
  <c r="H27" i="10"/>
  <c r="H26" i="10"/>
  <c r="I29" i="10"/>
  <c r="I27" i="10"/>
  <c r="H29" i="10"/>
  <c r="I26" i="10"/>
  <c r="H28" i="10"/>
  <c r="I25" i="10"/>
  <c r="L5" i="8"/>
  <c r="J20" i="8"/>
  <c r="I20" i="8"/>
  <c r="I21" i="8"/>
  <c r="K21" i="8" s="1"/>
  <c r="E5" i="8"/>
  <c r="K9" i="10"/>
  <c r="K10" i="10"/>
  <c r="K8" i="10"/>
  <c r="K7" i="10"/>
  <c r="K14" i="10"/>
  <c r="K13" i="10"/>
  <c r="B7" i="10"/>
  <c r="K6" i="10"/>
  <c r="B12" i="10"/>
  <c r="K12" i="10"/>
  <c r="B15" i="10"/>
  <c r="J24" i="10"/>
  <c r="B6" i="10"/>
  <c r="B14" i="10"/>
  <c r="B13" i="10"/>
  <c r="I22" i="10"/>
  <c r="L7" i="8"/>
  <c r="E6" i="8"/>
  <c r="F6" i="8"/>
  <c r="L6" i="8"/>
  <c r="E7" i="8"/>
  <c r="F7" i="8"/>
  <c r="E8" i="8"/>
  <c r="L8" i="8"/>
  <c r="F8" i="8"/>
  <c r="I17" i="8"/>
  <c r="I16" i="8"/>
  <c r="I15" i="8"/>
  <c r="I19" i="8"/>
  <c r="J17" i="8"/>
  <c r="J16" i="8"/>
  <c r="J19" i="8"/>
  <c r="J18" i="8"/>
  <c r="K18" i="8" s="1"/>
  <c r="J15" i="8"/>
  <c r="B51" i="8"/>
  <c r="C51" i="8"/>
  <c r="P5" i="8"/>
  <c r="G29" i="10" l="1"/>
  <c r="I13" i="10"/>
  <c r="G24" i="10"/>
  <c r="I14" i="10"/>
  <c r="G23" i="10"/>
  <c r="I8" i="10"/>
  <c r="G25" i="10"/>
  <c r="I15" i="10"/>
  <c r="I7" i="10"/>
  <c r="G28" i="10"/>
  <c r="I10" i="10"/>
  <c r="I5" i="10"/>
  <c r="C18" i="10"/>
  <c r="G22" i="10"/>
  <c r="I12" i="10"/>
  <c r="G27" i="10"/>
  <c r="G26" i="10"/>
  <c r="I6" i="10"/>
  <c r="J28" i="10"/>
  <c r="K16" i="10"/>
  <c r="J27" i="10"/>
  <c r="B16" i="10"/>
  <c r="H14" i="10" s="1"/>
  <c r="J14" i="10" s="1"/>
  <c r="M14" i="10" s="1"/>
  <c r="J23" i="10"/>
  <c r="J26" i="10"/>
  <c r="J29" i="10"/>
  <c r="J22" i="10"/>
  <c r="J25" i="10"/>
  <c r="C52" i="8"/>
  <c r="K19" i="8"/>
  <c r="B52" i="8"/>
  <c r="F9" i="8"/>
  <c r="K20" i="8"/>
  <c r="K16" i="8"/>
  <c r="K17" i="8"/>
  <c r="K15" i="8"/>
  <c r="L9" i="8"/>
  <c r="E9" i="8"/>
  <c r="F24" i="10" l="1"/>
  <c r="F25" i="10"/>
  <c r="F26" i="10"/>
  <c r="F27" i="10"/>
  <c r="H9" i="10"/>
  <c r="J9" i="10" s="1"/>
  <c r="M9" i="10" s="1"/>
  <c r="H10" i="10"/>
  <c r="J10" i="10" s="1"/>
  <c r="M10" i="10" s="1"/>
  <c r="F22" i="10"/>
  <c r="F23" i="10"/>
  <c r="F28" i="10"/>
  <c r="F29" i="10"/>
  <c r="B18" i="10"/>
  <c r="H5" i="10"/>
  <c r="J5" i="10" s="1"/>
  <c r="M5" i="10" s="1"/>
  <c r="H8" i="10"/>
  <c r="J8" i="10" s="1"/>
  <c r="M8" i="10" s="1"/>
  <c r="L8" i="10" s="1"/>
  <c r="H13" i="10"/>
  <c r="J13" i="10" s="1"/>
  <c r="M13" i="10" s="1"/>
  <c r="L13" i="10" s="1"/>
  <c r="H7" i="10"/>
  <c r="J7" i="10" s="1"/>
  <c r="M7" i="10" s="1"/>
  <c r="L7" i="10" s="1"/>
  <c r="H12" i="10"/>
  <c r="J12" i="10" s="1"/>
  <c r="M12" i="10" s="1"/>
  <c r="L12" i="10" s="1"/>
  <c r="H6" i="10"/>
  <c r="J6" i="10" s="1"/>
  <c r="M6" i="10" s="1"/>
  <c r="H15" i="10"/>
  <c r="J15" i="10" s="1"/>
  <c r="M15" i="10" s="1"/>
  <c r="L15" i="10"/>
  <c r="L6" i="10"/>
  <c r="P16" i="8"/>
  <c r="P23" i="10"/>
  <c r="L14" i="10"/>
  <c r="Q16" i="8"/>
  <c r="I5" i="8"/>
  <c r="I6" i="8"/>
  <c r="I7" i="8"/>
  <c r="I8" i="8"/>
  <c r="J5" i="8"/>
  <c r="J8" i="8"/>
  <c r="K8" i="8" s="1"/>
  <c r="N8" i="8" s="1"/>
  <c r="M8" i="8" s="1"/>
  <c r="J6" i="8"/>
  <c r="K6" i="8" s="1"/>
  <c r="N6" i="8" s="1"/>
  <c r="M6" i="8" s="1"/>
  <c r="J7" i="8"/>
  <c r="K7" i="8"/>
  <c r="N7" i="8" s="1"/>
  <c r="M7" i="8" s="1"/>
  <c r="K25" i="10" l="1"/>
  <c r="K24" i="10"/>
  <c r="K23" i="10"/>
  <c r="K22" i="10"/>
  <c r="K27" i="10"/>
  <c r="K29" i="10"/>
  <c r="K28" i="10"/>
  <c r="K26" i="10"/>
  <c r="O23" i="10"/>
  <c r="M22" i="10" s="1"/>
  <c r="L22" i="10" s="1"/>
  <c r="M16" i="10"/>
  <c r="L22" i="8"/>
  <c r="K5" i="8"/>
  <c r="N5" i="8" s="1"/>
  <c r="M5" i="8" s="1"/>
  <c r="M9" i="8" s="1"/>
  <c r="L5" i="10"/>
  <c r="L10" i="10"/>
  <c r="M28" i="10" l="1"/>
  <c r="L28" i="10" s="1"/>
  <c r="M24" i="10"/>
  <c r="L24" i="10" s="1"/>
  <c r="M27" i="10"/>
  <c r="L27" i="10" s="1"/>
  <c r="M26" i="10"/>
  <c r="L26" i="10" s="1"/>
  <c r="M23" i="10"/>
  <c r="L23" i="10" s="1"/>
  <c r="M29" i="10"/>
  <c r="L29" i="10" s="1"/>
  <c r="M25" i="10"/>
  <c r="L25" i="10" s="1"/>
  <c r="K30" i="10"/>
  <c r="M22" i="8"/>
  <c r="N9" i="8"/>
  <c r="N22" i="8"/>
  <c r="L9" i="10"/>
  <c r="L16" i="10" s="1"/>
  <c r="M30" i="10" l="1"/>
  <c r="L30" i="10"/>
</calcChain>
</file>

<file path=xl/sharedStrings.xml><?xml version="1.0" encoding="utf-8"?>
<sst xmlns="http://schemas.openxmlformats.org/spreadsheetml/2006/main" count="150" uniqueCount="107">
  <si>
    <t>Instructions</t>
  </si>
  <si>
    <t>Marriot Inc.</t>
  </si>
  <si>
    <t>You are required to map out the revenue drivers and cost drivers for the following companies:</t>
  </si>
  <si>
    <t>Johnson &amp; Johnson</t>
  </si>
  <si>
    <t>Format:</t>
  </si>
  <si>
    <t>You are free to refer to company websites, annual and quarterly reports, press releases and any other publicly available data</t>
  </si>
  <si>
    <t>You are required to break-down the company's revenue into price volume data and map-out how each of these individual variables affect the revenue growth</t>
  </si>
  <si>
    <t>For cost drivers, identify each of the cost item's correlation with revenue (fixed or variable and if variable varies based on what?)</t>
  </si>
  <si>
    <t>You can use charts/smart arts in word document and have bullet points below the diagram for any further explanations</t>
  </si>
  <si>
    <t>You are required to comment on the company performance in the light of revenue and cost drivers</t>
  </si>
  <si>
    <t xml:space="preserve">You are required identify peers and compare their performance with the given company, however, you are not required to go deep into identifying drivers for the peers </t>
  </si>
  <si>
    <t>The comment of company performance should be limited to a single page</t>
  </si>
  <si>
    <t>Quantity PY</t>
  </si>
  <si>
    <t>Quantity CY</t>
  </si>
  <si>
    <t>Revenue PY</t>
  </si>
  <si>
    <t>Revenue CY</t>
  </si>
  <si>
    <t>Mix PY</t>
  </si>
  <si>
    <t>Mix CY</t>
  </si>
  <si>
    <t>Mix Change</t>
  </si>
  <si>
    <t>Price</t>
  </si>
  <si>
    <t>Volume</t>
  </si>
  <si>
    <t>Mix</t>
  </si>
  <si>
    <t>Total</t>
  </si>
  <si>
    <t>Average Price PY</t>
  </si>
  <si>
    <t>Average Price CY</t>
  </si>
  <si>
    <t>Immunology</t>
  </si>
  <si>
    <t>Infectious Diseases</t>
  </si>
  <si>
    <t>Neuroscience</t>
  </si>
  <si>
    <t>Innovative Medicine</t>
  </si>
  <si>
    <t>Oncology</t>
  </si>
  <si>
    <t>Pulmonary Hypertension</t>
  </si>
  <si>
    <t>Cardiovascular/Other</t>
  </si>
  <si>
    <t>Total Rooms</t>
  </si>
  <si>
    <t>JW Marriott</t>
  </si>
  <si>
    <t>The Ritz-Carlton</t>
  </si>
  <si>
    <t>W Hotels</t>
  </si>
  <si>
    <t>The Luxury Collection</t>
  </si>
  <si>
    <t>St. Regis</t>
  </si>
  <si>
    <t>EDITION</t>
  </si>
  <si>
    <t>Bvlgari</t>
  </si>
  <si>
    <t>Luxury</t>
  </si>
  <si>
    <t>Premium</t>
  </si>
  <si>
    <t>Marriott Hotels</t>
  </si>
  <si>
    <t>Sheraton</t>
  </si>
  <si>
    <t>Westin</t>
  </si>
  <si>
    <t>Renasissance Hotels</t>
  </si>
  <si>
    <t>Le Meridien</t>
  </si>
  <si>
    <t>Autograph Collection</t>
  </si>
  <si>
    <t>Delta Hotels</t>
  </si>
  <si>
    <t>Gaylord Hotels</t>
  </si>
  <si>
    <t>Marriott Executive Apartments</t>
  </si>
  <si>
    <t>Tribute Portfolio</t>
  </si>
  <si>
    <t>Design Hotels</t>
  </si>
  <si>
    <t>Select</t>
  </si>
  <si>
    <t>Courtyard</t>
  </si>
  <si>
    <t>Residence Inn</t>
  </si>
  <si>
    <t>Fairfield</t>
  </si>
  <si>
    <t>Springhill</t>
  </si>
  <si>
    <t>Four Points</t>
  </si>
  <si>
    <t>TownePlace</t>
  </si>
  <si>
    <t>Aloft</t>
  </si>
  <si>
    <t>AC Hotels</t>
  </si>
  <si>
    <t>Protea Hotels</t>
  </si>
  <si>
    <t>Element Hotels</t>
  </si>
  <si>
    <t>Moxy Hotels</t>
  </si>
  <si>
    <t>Residences</t>
  </si>
  <si>
    <t>Timeshares</t>
  </si>
  <si>
    <t>Yacht</t>
  </si>
  <si>
    <t>Apartments</t>
  </si>
  <si>
    <t>City Express</t>
  </si>
  <si>
    <t xml:space="preserve">Average Total Price </t>
  </si>
  <si>
    <t>Price Volume Variance Analysis - Marriott (2022-2023)</t>
  </si>
  <si>
    <t>Average Luxury</t>
  </si>
  <si>
    <t>Average Premium</t>
  </si>
  <si>
    <t>Average Select</t>
  </si>
  <si>
    <t>Average Residence</t>
  </si>
  <si>
    <t>Labor Costs</t>
  </si>
  <si>
    <t>Marketing Costs</t>
  </si>
  <si>
    <t>Insurance Costs</t>
  </si>
  <si>
    <t>Prop. Management Costs</t>
  </si>
  <si>
    <t>Cost PY</t>
  </si>
  <si>
    <t>Cost CY</t>
  </si>
  <si>
    <t>Legal Costs (Item 3)</t>
  </si>
  <si>
    <t>Technology Costs (Bonvoy)</t>
  </si>
  <si>
    <t>Owned/Lease Costs</t>
  </si>
  <si>
    <t xml:space="preserve">Total </t>
  </si>
  <si>
    <t>Occupancy</t>
  </si>
  <si>
    <t xml:space="preserve">Av. Cost per Unit PY </t>
  </si>
  <si>
    <t>Av. Cost per Unit CY</t>
  </si>
  <si>
    <t>Total Occupancy</t>
  </si>
  <si>
    <t>Average Total Cost</t>
  </si>
  <si>
    <t>2022 (PY)</t>
  </si>
  <si>
    <t>2023 (CY)</t>
  </si>
  <si>
    <t>MedTech</t>
  </si>
  <si>
    <t>Surgery</t>
  </si>
  <si>
    <t>Orthopaedics</t>
  </si>
  <si>
    <t>Interventional Solutions</t>
  </si>
  <si>
    <t>Vision</t>
  </si>
  <si>
    <t>Price Volume Variance Analysis - J&amp;J (2022-2023)</t>
  </si>
  <si>
    <t>R&amp;D Costs</t>
  </si>
  <si>
    <t>Employee Benefit Costs</t>
  </si>
  <si>
    <t>Labor/Material Costs</t>
  </si>
  <si>
    <t>R&amp;D Impairments</t>
  </si>
  <si>
    <t>Restructing Costs (recurring)</t>
  </si>
  <si>
    <t>Average Total Cost per Unit</t>
  </si>
  <si>
    <t>Per Day</t>
  </si>
  <si>
    <t>Acquistions/Legal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</si>
</sst>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* #,##0_);_(* \(#,##0\);_(* &quot;-&quot;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 wrapText="1" indent="1"/>
    </xf>
    <xf numFmtId="0" fontId="1" fillId="0" borderId="0" xfId="0" applyFont="1"/>
    <xf numFmtId="3" fontId="0" fillId="0" borderId="0" xfId="0" applyNumberFormat="1"/>
    <xf numFmtId="164" fontId="0" fillId="0" borderId="0" xfId="2" applyNumberFormat="1" applyFont="1"/>
    <xf numFmtId="3" fontId="0" fillId="0" borderId="1" xfId="0" applyNumberFormat="1" applyBorder="1"/>
    <xf numFmtId="164" fontId="0" fillId="0" borderId="1" xfId="2" applyNumberFormat="1" applyFont="1" applyBorder="1"/>
    <xf numFmtId="10" fontId="0" fillId="0" borderId="0" xfId="3" applyNumberFormat="1" applyFont="1"/>
    <xf numFmtId="10" fontId="0" fillId="0" borderId="0" xfId="0" applyNumberFormat="1"/>
    <xf numFmtId="44" fontId="0" fillId="0" borderId="0" xfId="2" applyFont="1"/>
    <xf numFmtId="0" fontId="1" fillId="0" borderId="0" xfId="0" applyFont="1" applyAlignment="1">
      <alignment horizontal="center"/>
    </xf>
    <xf numFmtId="44" fontId="0" fillId="0" borderId="0" xfId="0" applyNumberFormat="1"/>
    <xf numFmtId="164" fontId="0" fillId="0" borderId="0" xfId="0" applyNumberFormat="1"/>
    <xf numFmtId="164" fontId="0" fillId="0" borderId="1" xfId="0" applyNumberFormat="1" applyBorder="1"/>
    <xf numFmtId="165" fontId="0" fillId="0" borderId="0" xfId="1" applyNumberFormat="1" applyFont="1"/>
    <xf numFmtId="165" fontId="0" fillId="0" borderId="1" xfId="1" applyNumberFormat="1" applyFont="1" applyBorder="1"/>
    <xf numFmtId="164" fontId="0" fillId="0" borderId="0" xfId="2" applyNumberFormat="1" applyFont="1" applyBorder="1"/>
    <xf numFmtId="44" fontId="0" fillId="0" borderId="0" xfId="2" applyFont="1" applyBorder="1"/>
    <xf numFmtId="10" fontId="0" fillId="0" borderId="0" xfId="3" applyNumberFormat="1" applyFont="1" applyBorder="1"/>
    <xf numFmtId="44" fontId="0" fillId="0" borderId="0" xfId="2" applyFont="1" applyFill="1" applyBorder="1"/>
    <xf numFmtId="166" fontId="0" fillId="0" borderId="0" xfId="3" applyNumberFormat="1" applyFont="1"/>
    <xf numFmtId="165" fontId="0" fillId="0" borderId="0" xfId="1" applyNumberFormat="1" applyFont="1" applyBorder="1"/>
    <xf numFmtId="165" fontId="0" fillId="0" borderId="0" xfId="1" applyNumberFormat="1" applyFont="1" applyFill="1" applyBorder="1"/>
    <xf numFmtId="165" fontId="0" fillId="0" borderId="1" xfId="1" applyNumberFormat="1" applyFont="1" applyFill="1" applyBorder="1"/>
    <xf numFmtId="0" fontId="5" fillId="0" borderId="0" xfId="0" applyFont="1"/>
    <xf numFmtId="165" fontId="0" fillId="0" borderId="0" xfId="0" applyNumberFormat="1"/>
    <xf numFmtId="165" fontId="1" fillId="0" borderId="0" xfId="1" applyNumberFormat="1" applyFont="1" applyBorder="1"/>
    <xf numFmtId="165" fontId="5" fillId="0" borderId="0" xfId="1" applyNumberFormat="1" applyFont="1" applyBorder="1"/>
    <xf numFmtId="3" fontId="1" fillId="0" borderId="0" xfId="0" applyNumberFormat="1" applyFont="1" applyAlignment="1">
      <alignment horizontal="center"/>
    </xf>
    <xf numFmtId="165" fontId="1" fillId="0" borderId="0" xfId="1" applyNumberFormat="1" applyFont="1" applyFill="1" applyBorder="1"/>
    <xf numFmtId="167" fontId="0" fillId="0" borderId="0" xfId="0" applyNumberFormat="1"/>
    <xf numFmtId="165" fontId="0" fillId="0" borderId="2" xfId="1" applyNumberFormat="1" applyFont="1" applyBorder="1"/>
    <xf numFmtId="165" fontId="0" fillId="0" borderId="1" xfId="0" applyNumberFormat="1" applyBorder="1"/>
    <xf numFmtId="165" fontId="3" fillId="0" borderId="0" xfId="1" applyNumberFormat="1" applyFont="1" applyBorder="1"/>
    <xf numFmtId="165" fontId="3" fillId="0" borderId="0" xfId="1" applyNumberFormat="1" applyFont="1" applyFill="1" applyBorder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5" fontId="3" fillId="0" borderId="0" xfId="1" applyNumberFormat="1" applyFont="1"/>
    <xf numFmtId="0" fontId="0" fillId="0" borderId="0" xfId="0" applyAlignment="1">
      <alignment horizontal="center"/>
    </xf>
    <xf numFmtId="0" fontId="7" fillId="0" borderId="0" xfId="0" applyFont="1" applyAlignment="1"/>
    <xf numFmtId="164" fontId="3" fillId="0" borderId="0" xfId="2" applyNumberFormat="1" applyFont="1" applyBorder="1"/>
    <xf numFmtId="164" fontId="0" fillId="0" borderId="0" xfId="0" applyNumberFormat="1" applyBorder="1"/>
    <xf numFmtId="165" fontId="6" fillId="0" borderId="0" xfId="0" applyNumberFormat="1" applyFont="1"/>
    <xf numFmtId="165" fontId="1" fillId="0" borderId="0" xfId="1" applyNumberFormat="1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4"/>
  <sheetViews>
    <sheetView workbookViewId="0"/>
  </sheetViews>
  <sheetFormatPr defaultRowHeight="14.4" x14ac:dyDescent="0.3"/>
  <cols>
    <col min="1" max="1" width="157.88671875" style="2" customWidth="1"/>
  </cols>
  <sheetData>
    <row r="1" spans="1:1" ht="23.4" x14ac:dyDescent="0.45">
      <c r="A1" s="1" t="s">
        <v>0</v>
      </c>
    </row>
    <row r="3" spans="1:1" x14ac:dyDescent="0.3">
      <c r="A3" s="2" t="s">
        <v>2</v>
      </c>
    </row>
    <row r="4" spans="1:1" s="4" customFormat="1" x14ac:dyDescent="0.3">
      <c r="A4" s="5" t="s">
        <v>1</v>
      </c>
    </row>
    <row r="5" spans="1:1" x14ac:dyDescent="0.3">
      <c r="A5" s="5" t="s">
        <v>3</v>
      </c>
    </row>
    <row r="6" spans="1:1" x14ac:dyDescent="0.3">
      <c r="A6" s="2" t="s">
        <v>5</v>
      </c>
    </row>
    <row r="7" spans="1:1" x14ac:dyDescent="0.3">
      <c r="A7" s="2" t="s">
        <v>6</v>
      </c>
    </row>
    <row r="8" spans="1:1" x14ac:dyDescent="0.3">
      <c r="A8" s="2" t="s">
        <v>7</v>
      </c>
    </row>
    <row r="9" spans="1:1" x14ac:dyDescent="0.3">
      <c r="A9" s="2" t="s">
        <v>9</v>
      </c>
    </row>
    <row r="10" spans="1:1" x14ac:dyDescent="0.3">
      <c r="A10" s="2" t="s">
        <v>10</v>
      </c>
    </row>
    <row r="12" spans="1:1" x14ac:dyDescent="0.3">
      <c r="A12" s="3" t="s">
        <v>4</v>
      </c>
    </row>
    <row r="13" spans="1:1" x14ac:dyDescent="0.3">
      <c r="A13" s="2" t="s">
        <v>8</v>
      </c>
    </row>
    <row r="14" spans="1:1" x14ac:dyDescent="0.3">
      <c r="A14" s="2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83A10-1061-4D60-A5B1-28EFABE26326}">
  <dimension ref="A1:W54"/>
  <sheetViews>
    <sheetView topLeftCell="D5" zoomScaleNormal="100" workbookViewId="0">
      <selection activeCell="L15" sqref="L15"/>
    </sheetView>
  </sheetViews>
  <sheetFormatPr defaultRowHeight="14.4" x14ac:dyDescent="0.3"/>
  <cols>
    <col min="1" max="1" width="25.77734375" customWidth="1"/>
    <col min="2" max="3" width="12.5546875" bestFit="1" customWidth="1"/>
    <col min="4" max="4" width="24.33203125" bestFit="1" customWidth="1"/>
    <col min="5" max="5" width="16.5546875" customWidth="1"/>
    <col min="6" max="6" width="17.88671875" customWidth="1"/>
    <col min="7" max="7" width="18.33203125" bestFit="1" customWidth="1"/>
    <col min="8" max="8" width="17.88671875" bestFit="1" customWidth="1"/>
    <col min="9" max="9" width="7.33203125" bestFit="1" customWidth="1"/>
    <col min="10" max="10" width="7" bestFit="1" customWidth="1"/>
    <col min="11" max="11" width="10.88671875" bestFit="1" customWidth="1"/>
    <col min="12" max="13" width="15.5546875" bestFit="1" customWidth="1"/>
    <col min="14" max="14" width="15.109375" bestFit="1" customWidth="1"/>
    <col min="16" max="17" width="13.6640625" bestFit="1" customWidth="1"/>
    <col min="22" max="22" width="9.88671875" customWidth="1"/>
    <col min="23" max="23" width="8.6640625" bestFit="1" customWidth="1"/>
    <col min="24" max="24" width="7.6640625" bestFit="1" customWidth="1"/>
    <col min="25" max="25" width="8.88671875" bestFit="1" customWidth="1"/>
    <col min="26" max="26" width="10.109375" customWidth="1"/>
  </cols>
  <sheetData>
    <row r="1" spans="1:21" ht="21" x14ac:dyDescent="0.4">
      <c r="A1" s="39" t="s">
        <v>71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21" x14ac:dyDescent="0.3">
      <c r="B2" s="14" t="s">
        <v>91</v>
      </c>
      <c r="C2" s="14" t="s">
        <v>92</v>
      </c>
    </row>
    <row r="3" spans="1:21" x14ac:dyDescent="0.3">
      <c r="A3" s="6"/>
      <c r="B3" s="14" t="s">
        <v>12</v>
      </c>
      <c r="C3" s="14" t="s">
        <v>13</v>
      </c>
      <c r="D3" s="14"/>
      <c r="E3" s="14" t="s">
        <v>14</v>
      </c>
      <c r="F3" s="14" t="s">
        <v>15</v>
      </c>
      <c r="G3" s="14" t="s">
        <v>23</v>
      </c>
      <c r="H3" s="14" t="s">
        <v>24</v>
      </c>
      <c r="I3" s="14" t="s">
        <v>16</v>
      </c>
      <c r="J3" s="14" t="s">
        <v>17</v>
      </c>
      <c r="K3" s="14" t="s">
        <v>18</v>
      </c>
      <c r="L3" s="14" t="s">
        <v>19</v>
      </c>
      <c r="M3" s="14" t="s">
        <v>20</v>
      </c>
      <c r="N3" s="14" t="s">
        <v>21</v>
      </c>
      <c r="P3" s="40" t="s">
        <v>70</v>
      </c>
      <c r="Q3" s="40"/>
    </row>
    <row r="4" spans="1:21" x14ac:dyDescent="0.3">
      <c r="A4" s="28" t="s">
        <v>40</v>
      </c>
      <c r="C4" s="7"/>
      <c r="D4" s="7"/>
      <c r="E4" s="7"/>
      <c r="F4" s="7"/>
      <c r="G4" s="21"/>
      <c r="H4" s="13"/>
      <c r="I4" s="11"/>
      <c r="J4" s="11"/>
      <c r="K4" s="12"/>
      <c r="L4" s="16"/>
      <c r="M4" s="16"/>
      <c r="N4" s="16"/>
      <c r="P4" s="14">
        <v>2022</v>
      </c>
      <c r="Q4" s="14">
        <v>2023</v>
      </c>
    </row>
    <row r="5" spans="1:21" x14ac:dyDescent="0.3">
      <c r="A5" t="s">
        <v>33</v>
      </c>
      <c r="B5" s="18">
        <v>46735</v>
      </c>
      <c r="C5" s="18">
        <v>48430</v>
      </c>
      <c r="D5" s="41" t="s">
        <v>72</v>
      </c>
      <c r="E5" s="8">
        <f>B13*G5*365</f>
        <v>13750818681.6</v>
      </c>
      <c r="F5" s="8">
        <f>C13*H5*365</f>
        <v>17786359503.359997</v>
      </c>
      <c r="G5" s="15">
        <f>H5*(1-0.142)</f>
        <v>432.43200000000002</v>
      </c>
      <c r="H5" s="13">
        <v>504</v>
      </c>
      <c r="I5" s="22">
        <f>(B13*365)/($B$52*365)</f>
        <v>8.9238478648649186E-2</v>
      </c>
      <c r="J5" s="22">
        <f>(C13*365)/($C$52*365)</f>
        <v>8.7976561619652185E-2</v>
      </c>
      <c r="K5" s="12">
        <f>J5-I5</f>
        <v>-1.2619170289970005E-3</v>
      </c>
      <c r="L5" s="16">
        <f>(H5-G5)*(C13*365)</f>
        <v>2525663049.477119</v>
      </c>
      <c r="M5" s="16">
        <f>((C13-B13)*365)*G5-N5</f>
        <v>1683996506.6877122</v>
      </c>
      <c r="N5" s="16">
        <f>$E$9*(G5-$P$5)*K5/100</f>
        <v>-174118734.40483397</v>
      </c>
      <c r="P5" s="15">
        <f>AVERAGE(G5:G8)</f>
        <v>265.76549999999997</v>
      </c>
      <c r="Q5" s="15">
        <f>AVERAGE(H5:H8)</f>
        <v>309.75</v>
      </c>
    </row>
    <row r="6" spans="1:21" x14ac:dyDescent="0.3">
      <c r="A6" t="s">
        <v>34</v>
      </c>
      <c r="B6" s="18">
        <v>30384</v>
      </c>
      <c r="C6" s="25">
        <v>31179</v>
      </c>
      <c r="D6" s="37" t="s">
        <v>73</v>
      </c>
      <c r="E6" s="8">
        <f>B28*G6*365</f>
        <v>38234423225.855995</v>
      </c>
      <c r="F6" s="8">
        <f>C28*H6*365</f>
        <v>49622310453.119987</v>
      </c>
      <c r="G6" s="15">
        <f t="shared" ref="G6:G8" si="0">H6*(1-0.142)</f>
        <v>253.96799999999999</v>
      </c>
      <c r="H6" s="23">
        <v>296</v>
      </c>
      <c r="I6" s="22">
        <f>(B28*365)/($B$52*365)</f>
        <v>0.4224905222016157</v>
      </c>
      <c r="J6" s="22">
        <f>(C28*365)/($C$52*365)</f>
        <v>0.41792247304961871</v>
      </c>
      <c r="K6" s="12">
        <f t="shared" ref="K6:K8" si="1">J6-I6</f>
        <v>-4.568049151996989E-3</v>
      </c>
      <c r="L6" s="16">
        <f>(H6-G6)*(C28*365)</f>
        <v>7046368084.3430405</v>
      </c>
      <c r="M6" s="16">
        <f>((C28-B28)*365)*G6-N6</f>
        <v>4296903501.6337452</v>
      </c>
      <c r="N6" s="16">
        <f>$E$9*(G6-$P$5)*K6/100</f>
        <v>44615641.287210777</v>
      </c>
    </row>
    <row r="7" spans="1:21" ht="15.6" x14ac:dyDescent="0.3">
      <c r="A7" t="s">
        <v>35</v>
      </c>
      <c r="B7" s="25">
        <v>18612</v>
      </c>
      <c r="C7" s="18">
        <v>23428</v>
      </c>
      <c r="D7" s="41" t="s">
        <v>74</v>
      </c>
      <c r="E7" s="8">
        <f>B43*G7*365</f>
        <v>29190367254.047997</v>
      </c>
      <c r="F7" s="8">
        <f>C43*H7*365</f>
        <v>38734538030</v>
      </c>
      <c r="G7" s="15">
        <f t="shared" si="0"/>
        <v>175.89</v>
      </c>
      <c r="H7" s="21">
        <v>205</v>
      </c>
      <c r="I7" s="22">
        <f>(B43*365)/($B$52*365)</f>
        <v>0.46573602979401563</v>
      </c>
      <c r="J7" s="22">
        <f>(C43*365)/($C$52*365)</f>
        <v>0.47103694800235391</v>
      </c>
      <c r="K7" s="12">
        <f t="shared" si="1"/>
        <v>5.3009182083382789E-3</v>
      </c>
      <c r="L7" s="16">
        <f>(H7-G7)*(C43*365)</f>
        <v>5500304400.2600021</v>
      </c>
      <c r="M7" s="16">
        <f>((C43-B43)*365)*G7-N7</f>
        <v>4438286266.2021923</v>
      </c>
      <c r="N7" s="16">
        <f>$E$9*(G7-$P$5)*K7/100</f>
        <v>-394419890.51019478</v>
      </c>
      <c r="P7" s="40" t="s">
        <v>86</v>
      </c>
      <c r="Q7" s="40"/>
      <c r="U7" s="43"/>
    </row>
    <row r="8" spans="1:21" x14ac:dyDescent="0.3">
      <c r="A8" s="2" t="s">
        <v>36</v>
      </c>
      <c r="B8" s="18">
        <v>24403</v>
      </c>
      <c r="C8" s="25">
        <v>20144</v>
      </c>
      <c r="D8" s="37" t="s">
        <v>75</v>
      </c>
      <c r="E8" s="10">
        <f>B49*G8*365</f>
        <v>1612199160</v>
      </c>
      <c r="F8" s="10">
        <f>C49*H8*365</f>
        <v>2164912551.3599997</v>
      </c>
      <c r="G8" s="15">
        <f t="shared" si="0"/>
        <v>200.77199999999999</v>
      </c>
      <c r="H8" s="23">
        <v>234</v>
      </c>
      <c r="I8" s="22">
        <f>(B49*365)/($B$52*365)</f>
        <v>2.2534969355719491E-2</v>
      </c>
      <c r="J8" s="22">
        <f>(C49*365)/($C$52*365)</f>
        <v>2.3064017328375215E-2</v>
      </c>
      <c r="K8" s="12">
        <f t="shared" si="1"/>
        <v>5.2904797265572456E-4</v>
      </c>
      <c r="L8" s="17">
        <f>(H8-G8)*(C49*365)</f>
        <v>307417582.29312003</v>
      </c>
      <c r="M8" s="17">
        <f>((C49-B49)*365)*G8-N8</f>
        <v>273762131.54945648</v>
      </c>
      <c r="N8" s="17">
        <f>$E$9*(G8-$P$5)*K8/100</f>
        <v>-28466322.482576612</v>
      </c>
      <c r="P8" s="14">
        <v>2022</v>
      </c>
      <c r="Q8" s="14">
        <v>2023</v>
      </c>
      <c r="U8" s="42"/>
    </row>
    <row r="9" spans="1:21" x14ac:dyDescent="0.3">
      <c r="A9" t="s">
        <v>37</v>
      </c>
      <c r="B9" s="25">
        <v>11793</v>
      </c>
      <c r="C9" s="26">
        <v>12382</v>
      </c>
      <c r="D9" s="33" t="s">
        <v>85</v>
      </c>
      <c r="E9" s="16">
        <f>SUM(E5:E8)</f>
        <v>82787808321.503998</v>
      </c>
      <c r="F9" s="16">
        <f>SUM(F5:F8)</f>
        <v>108308120537.83998</v>
      </c>
      <c r="L9" s="16">
        <f>SUM(L5:L8)</f>
        <v>15379753116.373281</v>
      </c>
      <c r="M9" s="16">
        <f t="shared" ref="M9:N9" si="2">SUM(M5:M8)</f>
        <v>10692948406.073105</v>
      </c>
      <c r="N9" s="16">
        <f t="shared" si="2"/>
        <v>-552389306.1103946</v>
      </c>
      <c r="P9" s="24">
        <v>0.64</v>
      </c>
      <c r="Q9" s="24">
        <v>0.68799999999999994</v>
      </c>
    </row>
    <row r="10" spans="1:21" x14ac:dyDescent="0.3">
      <c r="A10" t="s">
        <v>38</v>
      </c>
      <c r="B10" s="25">
        <v>3595</v>
      </c>
      <c r="C10" s="26">
        <v>4158</v>
      </c>
      <c r="D10" s="26"/>
      <c r="E10" s="40"/>
      <c r="F10" s="40"/>
      <c r="L10" s="6"/>
      <c r="M10" s="6"/>
      <c r="N10" s="6"/>
    </row>
    <row r="11" spans="1:21" x14ac:dyDescent="0.3">
      <c r="A11" t="s">
        <v>39</v>
      </c>
      <c r="B11" s="19">
        <v>603</v>
      </c>
      <c r="C11" s="27">
        <v>811</v>
      </c>
      <c r="D11" s="26"/>
      <c r="E11" s="7"/>
      <c r="F11" s="7"/>
    </row>
    <row r="12" spans="1:21" x14ac:dyDescent="0.3">
      <c r="A12" s="6" t="s">
        <v>22</v>
      </c>
      <c r="B12" s="35">
        <f>SUM(B5:B11)</f>
        <v>136125</v>
      </c>
      <c r="C12" s="35">
        <f>SUM(C5:C11)</f>
        <v>140532</v>
      </c>
      <c r="D12" s="25"/>
      <c r="E12" s="7"/>
      <c r="F12" s="7"/>
    </row>
    <row r="13" spans="1:21" x14ac:dyDescent="0.3">
      <c r="A13" s="6" t="s">
        <v>86</v>
      </c>
      <c r="B13" s="25">
        <f>B12*P9</f>
        <v>87120</v>
      </c>
      <c r="C13" s="25">
        <f>C12*Q9</f>
        <v>96686.015999999989</v>
      </c>
      <c r="D13" s="25"/>
      <c r="E13" s="7"/>
      <c r="F13" s="7"/>
      <c r="G13" s="40" t="s">
        <v>105</v>
      </c>
      <c r="H13" s="40"/>
      <c r="P13" s="40" t="s">
        <v>105</v>
      </c>
      <c r="Q13" s="40"/>
    </row>
    <row r="14" spans="1:21" x14ac:dyDescent="0.3">
      <c r="A14" s="28" t="s">
        <v>41</v>
      </c>
      <c r="B14" s="25"/>
      <c r="C14" s="25"/>
      <c r="D14" s="25"/>
      <c r="E14" s="32" t="s">
        <v>80</v>
      </c>
      <c r="F14" s="32" t="s">
        <v>81</v>
      </c>
      <c r="G14" s="6" t="s">
        <v>87</v>
      </c>
      <c r="H14" s="6" t="s">
        <v>88</v>
      </c>
      <c r="I14" s="14" t="s">
        <v>16</v>
      </c>
      <c r="J14" s="14" t="s">
        <v>17</v>
      </c>
      <c r="K14" s="14" t="s">
        <v>18</v>
      </c>
      <c r="L14" s="14" t="s">
        <v>19</v>
      </c>
      <c r="M14" s="14" t="s">
        <v>20</v>
      </c>
      <c r="N14" s="14" t="s">
        <v>21</v>
      </c>
      <c r="P14" s="40" t="s">
        <v>104</v>
      </c>
      <c r="Q14" s="40"/>
    </row>
    <row r="15" spans="1:21" x14ac:dyDescent="0.3">
      <c r="A15" t="s">
        <v>42</v>
      </c>
      <c r="B15" s="25">
        <v>205443</v>
      </c>
      <c r="C15" s="26">
        <v>210064</v>
      </c>
      <c r="D15" s="26" t="s">
        <v>76</v>
      </c>
      <c r="E15" s="25">
        <v>891000000</v>
      </c>
      <c r="F15" s="25">
        <v>1011000000</v>
      </c>
      <c r="G15" s="21">
        <f>(E15)/($B$51*365)</f>
        <v>1.600291522466436</v>
      </c>
      <c r="H15" s="21">
        <f>(F15)/($C$51*365)</f>
        <v>1.7340038148083925</v>
      </c>
      <c r="I15" s="22">
        <f>E15/$E$22</f>
        <v>5.147016347986829E-2</v>
      </c>
      <c r="J15" s="22">
        <f>F15/$F$22</f>
        <v>5.0934555897022518E-2</v>
      </c>
      <c r="K15" s="12">
        <f>J15-I15</f>
        <v>-5.3560758284577209E-4</v>
      </c>
      <c r="L15" s="16">
        <f>-(H15-G15)*($C$54)*365</f>
        <v>-7662365.0639749626</v>
      </c>
      <c r="M15" s="29">
        <f>-($C$52-$B$52)*(G15*365)-N15</f>
        <v>24467484.409272283</v>
      </c>
      <c r="N15" s="29">
        <f>-($E$22)*((G15*365)-($P$16*365))*K15/100</f>
        <v>-96158928.961447522</v>
      </c>
      <c r="P15" s="14">
        <v>2022</v>
      </c>
      <c r="Q15" s="14">
        <v>2023</v>
      </c>
    </row>
    <row r="16" spans="1:21" x14ac:dyDescent="0.3">
      <c r="A16" t="s">
        <v>43</v>
      </c>
      <c r="B16" s="25">
        <v>150946</v>
      </c>
      <c r="C16" s="26">
        <v>152194</v>
      </c>
      <c r="D16" s="26" t="s">
        <v>77</v>
      </c>
      <c r="E16" s="25">
        <v>635000000</v>
      </c>
      <c r="F16" s="25">
        <v>794000000</v>
      </c>
      <c r="G16" s="21">
        <f t="shared" ref="G16:G21" si="3">(E16)/($B$51*365)</f>
        <v>1.140499569883487</v>
      </c>
      <c r="H16" s="21">
        <f t="shared" ref="H16:H21" si="4">(F16)/($C$51*365)</f>
        <v>1.3618190197407158</v>
      </c>
      <c r="I16" s="22">
        <f t="shared" ref="I16:I19" si="5">E16/$E$22</f>
        <v>3.6681878574316908E-2</v>
      </c>
      <c r="J16" s="22">
        <f t="shared" ref="J16:J19" si="6">F16/$F$22</f>
        <v>4.0002015214872289E-2</v>
      </c>
      <c r="K16" s="12">
        <f t="shared" ref="K16:K21" si="7">J16-I16</f>
        <v>3.3201366405553809E-3</v>
      </c>
      <c r="L16" s="16">
        <f t="shared" ref="L16:L21" si="8">-(H16-G16)*($C$54)*365</f>
        <v>-12682681.531083649</v>
      </c>
      <c r="M16" s="29">
        <f t="shared" ref="M16:M21" si="9">-($C$52-$B$52)*(G16*365)-N16</f>
        <v>-743622104.11381626</v>
      </c>
      <c r="N16" s="29">
        <f t="shared" ref="N16:N21" si="10">-($E$22)*((G16*365)-($P$16*365))*K16/100</f>
        <v>692528874.83140182</v>
      </c>
      <c r="P16" s="15">
        <f>AVERAGE(G15:G21)</f>
        <v>4.4416621044438793</v>
      </c>
      <c r="Q16" s="15">
        <f>AVERAGE(H15:H21)</f>
        <v>4.8633943366019192</v>
      </c>
    </row>
    <row r="17" spans="1:14" x14ac:dyDescent="0.3">
      <c r="A17" s="2" t="s">
        <v>44</v>
      </c>
      <c r="B17" s="26">
        <v>85159</v>
      </c>
      <c r="C17" s="26">
        <v>88157</v>
      </c>
      <c r="D17" s="26" t="s">
        <v>78</v>
      </c>
      <c r="E17" s="25">
        <v>130000000</v>
      </c>
      <c r="F17" s="25">
        <v>172000000</v>
      </c>
      <c r="G17" s="21">
        <f t="shared" si="3"/>
        <v>0.23348810092102884</v>
      </c>
      <c r="H17" s="21">
        <f t="shared" si="4"/>
        <v>0.29500361636700645</v>
      </c>
      <c r="I17" s="22">
        <f t="shared" si="5"/>
        <v>7.5096759286003116E-3</v>
      </c>
      <c r="J17" s="22">
        <f t="shared" si="6"/>
        <v>8.665423950828758E-3</v>
      </c>
      <c r="K17" s="12">
        <f t="shared" si="7"/>
        <v>1.1557480222284464E-3</v>
      </c>
      <c r="L17" s="16">
        <f t="shared" si="8"/>
        <v>-3525138.4011892276</v>
      </c>
      <c r="M17" s="29">
        <f t="shared" si="9"/>
        <v>-317766617.9057951</v>
      </c>
      <c r="N17" s="29">
        <f t="shared" si="10"/>
        <v>307306586.71411967</v>
      </c>
    </row>
    <row r="18" spans="1:14" x14ac:dyDescent="0.3">
      <c r="A18" t="s">
        <v>45</v>
      </c>
      <c r="B18" s="25">
        <v>54317</v>
      </c>
      <c r="C18" s="25">
        <v>60884</v>
      </c>
      <c r="D18" s="25" t="s">
        <v>84</v>
      </c>
      <c r="E18" s="25">
        <v>1074000000</v>
      </c>
      <c r="F18" s="25">
        <v>1165000000</v>
      </c>
      <c r="G18" s="21">
        <f t="shared" si="3"/>
        <v>1.9289709260706536</v>
      </c>
      <c r="H18" s="21">
        <f t="shared" si="4"/>
        <v>1.998134959695131</v>
      </c>
      <c r="I18" s="22">
        <f t="shared" si="5"/>
        <v>6.2041476517821041E-2</v>
      </c>
      <c r="J18" s="22">
        <f t="shared" si="6"/>
        <v>5.8693133155322687E-2</v>
      </c>
      <c r="K18" s="12">
        <f t="shared" si="7"/>
        <v>-3.3483433624983544E-3</v>
      </c>
      <c r="L18" s="16">
        <f t="shared" si="8"/>
        <v>-3963435.7144402475</v>
      </c>
      <c r="M18" s="29">
        <f t="shared" si="9"/>
        <v>445183010.51158416</v>
      </c>
      <c r="N18" s="29">
        <f t="shared" si="10"/>
        <v>-531598960.51050246</v>
      </c>
    </row>
    <row r="19" spans="1:14" x14ac:dyDescent="0.3">
      <c r="A19" t="s">
        <v>46</v>
      </c>
      <c r="B19" s="25">
        <v>30464</v>
      </c>
      <c r="C19" s="25">
        <v>53258</v>
      </c>
      <c r="D19" s="25" t="s">
        <v>79</v>
      </c>
      <c r="E19" s="25">
        <v>7986000000</v>
      </c>
      <c r="F19" s="25">
        <v>9700000000</v>
      </c>
      <c r="G19" s="21">
        <f t="shared" si="3"/>
        <v>14.343353645810279</v>
      </c>
      <c r="H19" s="21">
        <f t="shared" si="4"/>
        <v>16.636831853255597</v>
      </c>
      <c r="I19" s="22">
        <f t="shared" si="5"/>
        <v>0.46132516896770842</v>
      </c>
      <c r="J19" s="22">
        <f t="shared" si="6"/>
        <v>0.48868960652929616</v>
      </c>
      <c r="K19" s="12">
        <f t="shared" si="7"/>
        <v>2.736443756158774E-2</v>
      </c>
      <c r="L19" s="16">
        <f t="shared" si="8"/>
        <v>-131427462.53107724</v>
      </c>
      <c r="M19" s="29">
        <f t="shared" si="9"/>
        <v>16477715267.621838</v>
      </c>
      <c r="N19" s="29">
        <f t="shared" si="10"/>
        <v>-17120283029.904297</v>
      </c>
    </row>
    <row r="20" spans="1:14" x14ac:dyDescent="0.3">
      <c r="A20" t="s">
        <v>47</v>
      </c>
      <c r="B20" s="25">
        <v>57117</v>
      </c>
      <c r="C20" s="25">
        <v>31029</v>
      </c>
      <c r="D20" s="25" t="s">
        <v>82</v>
      </c>
      <c r="E20" s="26">
        <v>1000000</v>
      </c>
      <c r="F20" s="26">
        <v>1000000</v>
      </c>
      <c r="G20" s="21">
        <f t="shared" si="3"/>
        <v>1.7960623147771449E-3</v>
      </c>
      <c r="H20" s="21">
        <f t="shared" si="4"/>
        <v>1.7151373044593399E-3</v>
      </c>
      <c r="I20" s="22">
        <f>E20/$E$22</f>
        <v>5.7766737912310095E-5</v>
      </c>
      <c r="J20" s="22">
        <f>F20/$F$22</f>
        <v>5.038037180714394E-5</v>
      </c>
      <c r="K20" s="12">
        <f t="shared" si="7"/>
        <v>-7.3863661051661551E-6</v>
      </c>
      <c r="L20" s="16">
        <f t="shared" si="8"/>
        <v>4637.3969139290039</v>
      </c>
      <c r="M20" s="29">
        <f t="shared" si="9"/>
        <v>1991662.1096810584</v>
      </c>
      <c r="N20" s="29">
        <f t="shared" si="10"/>
        <v>-2072123.8880785615</v>
      </c>
    </row>
    <row r="21" spans="1:14" x14ac:dyDescent="0.3">
      <c r="A21" t="s">
        <v>48</v>
      </c>
      <c r="B21" s="25">
        <v>28406</v>
      </c>
      <c r="C21" s="25">
        <v>30514</v>
      </c>
      <c r="D21" s="25" t="s">
        <v>83</v>
      </c>
      <c r="E21" s="19">
        <v>6594000000</v>
      </c>
      <c r="F21" s="19">
        <v>7006000000</v>
      </c>
      <c r="G21" s="21">
        <f t="shared" si="3"/>
        <v>11.843234903640493</v>
      </c>
      <c r="H21" s="21">
        <f t="shared" si="4"/>
        <v>12.016251955042135</v>
      </c>
      <c r="I21" s="22">
        <f>E21/$E$22</f>
        <v>0.38091386979377273</v>
      </c>
      <c r="J21" s="22">
        <f>F21/$F$22</f>
        <v>0.35296488488085043</v>
      </c>
      <c r="K21" s="12">
        <f t="shared" si="7"/>
        <v>-2.7948984912922303E-2</v>
      </c>
      <c r="L21" s="17">
        <f t="shared" si="8"/>
        <v>-9914719.0352663938</v>
      </c>
      <c r="M21" s="36">
        <f t="shared" si="9"/>
        <v>-13601452418.610451</v>
      </c>
      <c r="N21" s="36">
        <f t="shared" si="10"/>
        <v>13070887451.857315</v>
      </c>
    </row>
    <row r="22" spans="1:14" x14ac:dyDescent="0.3">
      <c r="A22" t="s">
        <v>49</v>
      </c>
      <c r="B22" s="26">
        <v>10220</v>
      </c>
      <c r="C22" s="26">
        <v>17127</v>
      </c>
      <c r="D22" s="33" t="s">
        <v>85</v>
      </c>
      <c r="E22" s="18">
        <f>SUM(E15:E21)</f>
        <v>17311000000</v>
      </c>
      <c r="F22" s="18">
        <f>SUM(F15:F21)</f>
        <v>19849000000</v>
      </c>
      <c r="G22" s="21"/>
      <c r="H22" s="21"/>
      <c r="L22" s="16">
        <f>SUM(L15:L21)</f>
        <v>-169171164.8801178</v>
      </c>
      <c r="M22" s="16">
        <f t="shared" ref="M22:N22" si="11">SUM(M15:M21)</f>
        <v>2286516284.0223122</v>
      </c>
      <c r="N22" s="16">
        <f t="shared" si="11"/>
        <v>-3679390129.8614883</v>
      </c>
    </row>
    <row r="23" spans="1:14" x14ac:dyDescent="0.3">
      <c r="A23" t="s">
        <v>50</v>
      </c>
      <c r="B23" s="18">
        <v>5008</v>
      </c>
      <c r="C23" s="18">
        <v>10220</v>
      </c>
      <c r="D23" s="18"/>
    </row>
    <row r="24" spans="1:14" x14ac:dyDescent="0.3">
      <c r="A24" t="s">
        <v>51</v>
      </c>
      <c r="B24" s="18">
        <v>12536</v>
      </c>
      <c r="C24" s="18">
        <v>8702</v>
      </c>
      <c r="D24" s="18"/>
    </row>
    <row r="25" spans="1:14" x14ac:dyDescent="0.3">
      <c r="A25" t="s">
        <v>52</v>
      </c>
      <c r="B25" s="18">
        <v>4854</v>
      </c>
      <c r="C25" s="18">
        <v>5325</v>
      </c>
      <c r="D25" s="18"/>
    </row>
    <row r="26" spans="1:14" x14ac:dyDescent="0.3">
      <c r="A26" t="s">
        <v>68</v>
      </c>
      <c r="B26" s="19">
        <v>0</v>
      </c>
      <c r="C26" s="19">
        <v>107</v>
      </c>
      <c r="D26" s="25"/>
    </row>
    <row r="27" spans="1:14" x14ac:dyDescent="0.3">
      <c r="A27" s="6" t="s">
        <v>22</v>
      </c>
      <c r="B27" s="35">
        <f>SUM(B15:B26)</f>
        <v>644470</v>
      </c>
      <c r="C27" s="35">
        <f>SUM(C15:C26)</f>
        <v>667581</v>
      </c>
      <c r="D27" s="18"/>
    </row>
    <row r="28" spans="1:14" x14ac:dyDescent="0.3">
      <c r="A28" s="6" t="s">
        <v>86</v>
      </c>
      <c r="B28" s="18">
        <f>B27*P9</f>
        <v>412460.79999999999</v>
      </c>
      <c r="C28" s="18">
        <f>C27*Q9</f>
        <v>459295.72799999994</v>
      </c>
      <c r="D28" s="18"/>
    </row>
    <row r="29" spans="1:14" x14ac:dyDescent="0.3">
      <c r="A29" s="28" t="s">
        <v>53</v>
      </c>
      <c r="B29" s="18"/>
      <c r="C29" s="18"/>
      <c r="D29" s="18"/>
    </row>
    <row r="30" spans="1:14" x14ac:dyDescent="0.3">
      <c r="A30" t="s">
        <v>54</v>
      </c>
      <c r="B30" s="18">
        <v>191177</v>
      </c>
      <c r="C30" s="18">
        <v>196960</v>
      </c>
      <c r="D30" s="18"/>
    </row>
    <row r="31" spans="1:14" x14ac:dyDescent="0.3">
      <c r="A31" t="s">
        <v>55</v>
      </c>
      <c r="B31" s="18">
        <v>109201</v>
      </c>
      <c r="C31" s="18">
        <v>129382</v>
      </c>
      <c r="D31" s="18"/>
    </row>
    <row r="32" spans="1:14" x14ac:dyDescent="0.3">
      <c r="A32" t="s">
        <v>56</v>
      </c>
      <c r="B32" s="18">
        <v>124843</v>
      </c>
      <c r="C32" s="18">
        <v>111446</v>
      </c>
      <c r="D32" s="18"/>
    </row>
    <row r="33" spans="1:23" x14ac:dyDescent="0.3">
      <c r="A33" t="s">
        <v>57</v>
      </c>
      <c r="B33" s="18">
        <v>63014</v>
      </c>
      <c r="C33" s="18">
        <v>64774</v>
      </c>
      <c r="D33" s="18"/>
    </row>
    <row r="34" spans="1:23" x14ac:dyDescent="0.3">
      <c r="A34" t="s">
        <v>58</v>
      </c>
      <c r="B34" s="18">
        <v>57927</v>
      </c>
      <c r="C34" s="18">
        <v>58972</v>
      </c>
      <c r="D34" s="18"/>
    </row>
    <row r="35" spans="1:23" x14ac:dyDescent="0.3">
      <c r="A35" t="s">
        <v>59</v>
      </c>
      <c r="B35" s="18">
        <v>49719</v>
      </c>
      <c r="C35" s="18">
        <v>51063</v>
      </c>
      <c r="D35" s="18"/>
    </row>
    <row r="36" spans="1:23" x14ac:dyDescent="0.3">
      <c r="A36" t="s">
        <v>60</v>
      </c>
      <c r="B36" s="18">
        <v>35916</v>
      </c>
      <c r="C36" s="18">
        <v>38170</v>
      </c>
      <c r="D36" s="18"/>
    </row>
    <row r="37" spans="1:23" x14ac:dyDescent="0.3">
      <c r="A37" t="s">
        <v>61</v>
      </c>
      <c r="B37" s="18">
        <v>34617</v>
      </c>
      <c r="C37" s="18">
        <v>36978</v>
      </c>
      <c r="D37" s="18"/>
    </row>
    <row r="38" spans="1:23" x14ac:dyDescent="0.3">
      <c r="A38" t="s">
        <v>62</v>
      </c>
      <c r="B38" s="18">
        <v>6699</v>
      </c>
      <c r="C38" s="18">
        <v>6611</v>
      </c>
      <c r="D38" s="18"/>
    </row>
    <row r="39" spans="1:23" x14ac:dyDescent="0.3">
      <c r="A39" t="s">
        <v>63</v>
      </c>
      <c r="B39" s="18">
        <v>14216</v>
      </c>
      <c r="C39" s="18">
        <v>14594</v>
      </c>
      <c r="D39" s="18"/>
    </row>
    <row r="40" spans="1:23" x14ac:dyDescent="0.3">
      <c r="A40" t="s">
        <v>64</v>
      </c>
      <c r="B40" s="18">
        <v>23108</v>
      </c>
      <c r="C40" s="18">
        <v>26044</v>
      </c>
      <c r="D40" s="18"/>
    </row>
    <row r="41" spans="1:23" x14ac:dyDescent="0.3">
      <c r="A41" t="s">
        <v>69</v>
      </c>
      <c r="B41" s="19">
        <v>0</v>
      </c>
      <c r="C41" s="19">
        <v>17431</v>
      </c>
      <c r="D41" s="25"/>
    </row>
    <row r="42" spans="1:23" x14ac:dyDescent="0.3">
      <c r="A42" s="6" t="s">
        <v>22</v>
      </c>
      <c r="B42" s="35">
        <f>SUM(B30:B41)</f>
        <v>710437</v>
      </c>
      <c r="C42" s="35">
        <f>SUM(C30:C41)</f>
        <v>752425</v>
      </c>
      <c r="D42" s="18"/>
    </row>
    <row r="43" spans="1:23" x14ac:dyDescent="0.3">
      <c r="A43" s="6" t="s">
        <v>86</v>
      </c>
      <c r="B43" s="18">
        <f>B42*P9</f>
        <v>454679.68</v>
      </c>
      <c r="C43" s="18">
        <f>C42*Q9</f>
        <v>517668.39999999997</v>
      </c>
      <c r="D43" s="18"/>
    </row>
    <row r="44" spans="1:23" x14ac:dyDescent="0.3">
      <c r="A44" s="28" t="s">
        <v>65</v>
      </c>
      <c r="B44" s="18"/>
      <c r="C44" s="18"/>
      <c r="D44" s="18"/>
      <c r="V44" s="13"/>
      <c r="W44" s="13"/>
    </row>
    <row r="45" spans="1:23" x14ac:dyDescent="0.3">
      <c r="A45" t="s">
        <v>65</v>
      </c>
      <c r="B45" s="18">
        <v>11481</v>
      </c>
      <c r="C45" s="18">
        <v>13948</v>
      </c>
      <c r="D45" s="18"/>
    </row>
    <row r="46" spans="1:23" x14ac:dyDescent="0.3">
      <c r="A46" t="s">
        <v>66</v>
      </c>
      <c r="B46" s="18">
        <v>22745</v>
      </c>
      <c r="C46" s="18">
        <v>22745</v>
      </c>
      <c r="D46" s="18"/>
    </row>
    <row r="47" spans="1:23" x14ac:dyDescent="0.3">
      <c r="A47" t="s">
        <v>67</v>
      </c>
      <c r="B47" s="19">
        <v>149</v>
      </c>
      <c r="C47" s="19">
        <v>149</v>
      </c>
      <c r="D47" s="25"/>
    </row>
    <row r="48" spans="1:23" x14ac:dyDescent="0.3">
      <c r="A48" s="6" t="s">
        <v>22</v>
      </c>
      <c r="B48" s="35">
        <f>SUM(B45:B47)</f>
        <v>34375</v>
      </c>
      <c r="C48" s="35">
        <f>SUM(C45:C47)</f>
        <v>36842</v>
      </c>
      <c r="D48" s="18"/>
    </row>
    <row r="49" spans="1:4" x14ac:dyDescent="0.3">
      <c r="A49" s="6" t="s">
        <v>86</v>
      </c>
      <c r="B49" s="34">
        <f>B48*P9</f>
        <v>22000</v>
      </c>
      <c r="C49" s="34">
        <f>C48*Q9</f>
        <v>25347.295999999998</v>
      </c>
    </row>
    <row r="50" spans="1:4" x14ac:dyDescent="0.3">
      <c r="D50" s="29"/>
    </row>
    <row r="51" spans="1:4" x14ac:dyDescent="0.3">
      <c r="A51" s="6" t="s">
        <v>32</v>
      </c>
      <c r="B51" s="29">
        <f>SUM(B12,B27,B42,B48)</f>
        <v>1525407</v>
      </c>
      <c r="C51" s="29">
        <f>SUM(C12,C27,C42,C48)</f>
        <v>1597380</v>
      </c>
    </row>
    <row r="52" spans="1:4" x14ac:dyDescent="0.3">
      <c r="A52" s="6" t="s">
        <v>89</v>
      </c>
      <c r="B52" s="29">
        <f>B51*P9</f>
        <v>976260.48</v>
      </c>
      <c r="C52" s="29">
        <f>C51*Q9</f>
        <v>1098997.44</v>
      </c>
    </row>
    <row r="54" spans="1:4" x14ac:dyDescent="0.3">
      <c r="B54" s="46">
        <f>B52/7</f>
        <v>139465.78285714285</v>
      </c>
      <c r="C54" s="46">
        <f>C52/7</f>
        <v>156999.63428571427</v>
      </c>
    </row>
  </sheetData>
  <mergeCells count="7">
    <mergeCell ref="G13:H13"/>
    <mergeCell ref="P13:Q13"/>
    <mergeCell ref="A1:N1"/>
    <mergeCell ref="E10:F10"/>
    <mergeCell ref="P3:Q3"/>
    <mergeCell ref="P7:Q7"/>
    <mergeCell ref="P14:Q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C4FBC-A599-4ACE-8D53-A1128C158151}">
  <dimension ref="A1:P52"/>
  <sheetViews>
    <sheetView tabSelected="1" workbookViewId="0">
      <selection activeCell="G22" sqref="G22"/>
    </sheetView>
  </sheetViews>
  <sheetFormatPr defaultRowHeight="14.4" x14ac:dyDescent="0.3"/>
  <cols>
    <col min="1" max="1" width="25.21875" bestFit="1" customWidth="1"/>
    <col min="2" max="2" width="13.5546875" bestFit="1" customWidth="1"/>
    <col min="3" max="3" width="11.5546875" bestFit="1" customWidth="1"/>
    <col min="4" max="5" width="18.21875" bestFit="1" customWidth="1"/>
    <col min="6" max="6" width="18.33203125" bestFit="1" customWidth="1"/>
    <col min="7" max="7" width="17.88671875" bestFit="1" customWidth="1"/>
    <col min="8" max="9" width="8.109375" customWidth="1"/>
    <col min="10" max="10" width="10.88671875" bestFit="1" customWidth="1"/>
    <col min="11" max="11" width="18.109375" bestFit="1" customWidth="1"/>
    <col min="12" max="12" width="22.6640625" bestFit="1" customWidth="1"/>
    <col min="13" max="13" width="19.88671875" customWidth="1"/>
    <col min="14" max="14" width="11.6640625" customWidth="1"/>
    <col min="15" max="16" width="11.109375" bestFit="1" customWidth="1"/>
  </cols>
  <sheetData>
    <row r="1" spans="1:16" ht="21" x14ac:dyDescent="0.4">
      <c r="A1" s="39" t="s">
        <v>98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6" x14ac:dyDescent="0.3">
      <c r="B2" s="14"/>
      <c r="C2" s="14"/>
    </row>
    <row r="3" spans="1:16" x14ac:dyDescent="0.3">
      <c r="A3" s="14"/>
      <c r="B3" s="14" t="s">
        <v>12</v>
      </c>
      <c r="C3" s="14" t="s">
        <v>13</v>
      </c>
      <c r="D3" s="14" t="s">
        <v>14</v>
      </c>
      <c r="E3" s="14" t="s">
        <v>15</v>
      </c>
      <c r="F3" s="14" t="s">
        <v>23</v>
      </c>
      <c r="G3" s="14" t="s">
        <v>24</v>
      </c>
      <c r="H3" s="14" t="s">
        <v>16</v>
      </c>
      <c r="I3" s="14" t="s">
        <v>17</v>
      </c>
      <c r="J3" s="14" t="s">
        <v>18</v>
      </c>
      <c r="K3" s="14" t="s">
        <v>19</v>
      </c>
      <c r="L3" s="14" t="s">
        <v>20</v>
      </c>
      <c r="M3" s="14" t="s">
        <v>21</v>
      </c>
      <c r="O3" s="40" t="s">
        <v>70</v>
      </c>
      <c r="P3" s="40"/>
    </row>
    <row r="4" spans="1:16" x14ac:dyDescent="0.3">
      <c r="A4" s="28" t="s">
        <v>28</v>
      </c>
      <c r="B4" s="28"/>
      <c r="C4" s="6"/>
      <c r="F4" s="21"/>
      <c r="G4" s="13"/>
      <c r="H4" s="11"/>
      <c r="I4" s="11"/>
      <c r="J4" s="12"/>
      <c r="K4" s="16"/>
      <c r="L4" s="16"/>
      <c r="M4" s="16"/>
      <c r="O4" s="14">
        <v>2022</v>
      </c>
      <c r="P4" s="14">
        <v>2023</v>
      </c>
    </row>
    <row r="5" spans="1:16" x14ac:dyDescent="0.3">
      <c r="A5" t="s">
        <v>25</v>
      </c>
      <c r="B5" s="18">
        <f>D5/F5</f>
        <v>3002634.0201359992</v>
      </c>
      <c r="C5" s="18">
        <f>E5/G5</f>
        <v>2714178.3190497668</v>
      </c>
      <c r="D5" s="8">
        <v>16935000000</v>
      </c>
      <c r="E5" s="8">
        <v>18052000000</v>
      </c>
      <c r="F5" s="15">
        <f>G5*(1-0.152)</f>
        <v>5640.0479999999998</v>
      </c>
      <c r="G5" s="15">
        <v>6651</v>
      </c>
      <c r="H5" s="22">
        <f>B5/$B$16</f>
        <v>0.13656917113200451</v>
      </c>
      <c r="I5" s="22">
        <f>C5/$C$16</f>
        <v>0.1446682367509983</v>
      </c>
      <c r="J5" s="12">
        <f>I5-H5</f>
        <v>8.0990656189937893E-3</v>
      </c>
      <c r="K5" s="16">
        <f>(G5-F5)*C5</f>
        <v>2743904000.0000005</v>
      </c>
      <c r="L5" s="16">
        <f>(C5-B5)*F5-M5</f>
        <v>11341759179.622044</v>
      </c>
      <c r="M5" s="16">
        <f>$D$5*(F5-$O$5)*J5/100</f>
        <v>-12968663179.622047</v>
      </c>
      <c r="O5" s="21">
        <f>AVERAGE(F5:F15)</f>
        <v>15095.343199999999</v>
      </c>
      <c r="P5" s="21">
        <f>AVERAGE(G5:G15)</f>
        <v>16232</v>
      </c>
    </row>
    <row r="6" spans="1:16" x14ac:dyDescent="0.3">
      <c r="A6" t="s">
        <v>26</v>
      </c>
      <c r="B6" s="18">
        <f t="shared" ref="B6:C10" si="0">D6/F6</f>
        <v>3129911.128675018</v>
      </c>
      <c r="C6" s="18">
        <f t="shared" si="0"/>
        <v>2151972.7228446174</v>
      </c>
      <c r="D6" s="8">
        <v>5449000000</v>
      </c>
      <c r="E6" s="8">
        <v>4418000000</v>
      </c>
      <c r="F6" s="15">
        <f t="shared" ref="F6:F10" si="1">G6*(1-0.152)</f>
        <v>1740.944</v>
      </c>
      <c r="G6" s="15">
        <v>2053</v>
      </c>
      <c r="H6" s="22">
        <f t="shared" ref="H6:H15" si="2">B6/$B$16</f>
        <v>0.14235813145839976</v>
      </c>
      <c r="I6" s="22">
        <f t="shared" ref="I6:I15" si="3">C6/$C$16</f>
        <v>0.11470215393186449</v>
      </c>
      <c r="J6" s="12">
        <f t="shared" ref="J6:J15" si="4">I6-H6</f>
        <v>-2.7655977526535272E-2</v>
      </c>
      <c r="K6" s="16">
        <f t="shared" ref="K6:K10" si="5">(G6-F6)*C6</f>
        <v>671536000</v>
      </c>
      <c r="L6" s="16">
        <f t="shared" ref="L6:L10" si="6">(C6-B6)*F6-M6</f>
        <v>-297128774428.04895</v>
      </c>
      <c r="M6" s="16">
        <f t="shared" ref="M6:M15" si="7">$D$16*(F6-$O$5)*J6/100</f>
        <v>295426238428.04895</v>
      </c>
    </row>
    <row r="7" spans="1:16" x14ac:dyDescent="0.3">
      <c r="A7" t="s">
        <v>27</v>
      </c>
      <c r="B7" s="18">
        <f t="shared" si="0"/>
        <v>1081353.9624649535</v>
      </c>
      <c r="C7" s="18">
        <f t="shared" si="0"/>
        <v>949847.01343621127</v>
      </c>
      <c r="D7" s="8">
        <v>6893000000</v>
      </c>
      <c r="E7" s="8">
        <v>7140000000</v>
      </c>
      <c r="F7" s="15">
        <f t="shared" si="1"/>
        <v>6374.4160000000002</v>
      </c>
      <c r="G7" s="21">
        <v>7517</v>
      </c>
      <c r="H7" s="22">
        <f t="shared" si="2"/>
        <v>4.9183354802413953E-2</v>
      </c>
      <c r="I7" s="22">
        <f t="shared" si="3"/>
        <v>5.0627732029458777E-2</v>
      </c>
      <c r="J7" s="12">
        <f t="shared" si="4"/>
        <v>1.4443772270448241E-3</v>
      </c>
      <c r="K7" s="16">
        <f t="shared" si="5"/>
        <v>1085279999.9999998</v>
      </c>
      <c r="L7" s="16">
        <f t="shared" si="6"/>
        <v>9237507286.2519836</v>
      </c>
      <c r="M7" s="16">
        <f t="shared" si="7"/>
        <v>-10075787286.251984</v>
      </c>
      <c r="N7" s="40"/>
      <c r="O7" s="40"/>
    </row>
    <row r="8" spans="1:16" x14ac:dyDescent="0.3">
      <c r="A8" t="s">
        <v>29</v>
      </c>
      <c r="B8" s="18">
        <f t="shared" si="0"/>
        <v>3028744.5538310404</v>
      </c>
      <c r="C8" s="18">
        <f t="shared" si="0"/>
        <v>2838020.2474690662</v>
      </c>
      <c r="D8" s="8">
        <v>15983000000</v>
      </c>
      <c r="E8" s="8">
        <v>17661000000</v>
      </c>
      <c r="F8" s="15">
        <f t="shared" si="1"/>
        <v>5277.1040000000003</v>
      </c>
      <c r="G8" s="23">
        <v>6223</v>
      </c>
      <c r="H8" s="22">
        <f t="shared" si="2"/>
        <v>0.1377567597360877</v>
      </c>
      <c r="I8" s="22">
        <f t="shared" si="3"/>
        <v>0.15126912708105433</v>
      </c>
      <c r="J8" s="12">
        <f t="shared" si="4"/>
        <v>1.3512367344966636E-2</v>
      </c>
      <c r="K8" s="16">
        <f t="shared" si="5"/>
        <v>2684471999.999999</v>
      </c>
      <c r="L8" s="16">
        <f t="shared" si="6"/>
        <v>105114385035.44595</v>
      </c>
      <c r="M8" s="16">
        <f t="shared" si="7"/>
        <v>-106120857035.44595</v>
      </c>
      <c r="N8" s="14"/>
      <c r="O8" s="14"/>
    </row>
    <row r="9" spans="1:16" x14ac:dyDescent="0.3">
      <c r="A9" t="s">
        <v>30</v>
      </c>
      <c r="B9" s="18">
        <f t="shared" si="0"/>
        <v>1918800.5390835579</v>
      </c>
      <c r="C9" s="18">
        <f t="shared" si="0"/>
        <v>1816666.6666666667</v>
      </c>
      <c r="D9" s="8">
        <v>3417000000</v>
      </c>
      <c r="E9" s="8">
        <v>3815000000</v>
      </c>
      <c r="F9" s="15">
        <f t="shared" si="1"/>
        <v>1780.8</v>
      </c>
      <c r="G9" s="23">
        <v>2100</v>
      </c>
      <c r="H9" s="22">
        <f t="shared" si="2"/>
        <v>8.7273040081793207E-2</v>
      </c>
      <c r="I9" s="22">
        <f t="shared" si="3"/>
        <v>9.6830028294895287E-2</v>
      </c>
      <c r="J9" s="12">
        <f t="shared" si="4"/>
        <v>9.55698821310208E-3</v>
      </c>
      <c r="K9" s="16">
        <f t="shared" si="5"/>
        <v>579880000.00000012</v>
      </c>
      <c r="L9" s="16">
        <f t="shared" si="6"/>
        <v>101602941246.94824</v>
      </c>
      <c r="M9" s="16">
        <f t="shared" si="7"/>
        <v>-101784821246.94824</v>
      </c>
      <c r="N9" s="24"/>
      <c r="O9" s="24"/>
    </row>
    <row r="10" spans="1:16" x14ac:dyDescent="0.3">
      <c r="A10" t="s">
        <v>31</v>
      </c>
      <c r="B10" s="25">
        <f t="shared" si="0"/>
        <v>7639544.0251572328</v>
      </c>
      <c r="C10" s="25">
        <f t="shared" si="0"/>
        <v>6118333.333333333</v>
      </c>
      <c r="D10" s="20">
        <v>3887000000</v>
      </c>
      <c r="E10" s="20">
        <v>3671000000</v>
      </c>
      <c r="F10" s="15">
        <f t="shared" si="1"/>
        <v>508.8</v>
      </c>
      <c r="G10" s="23">
        <v>600</v>
      </c>
      <c r="H10" s="22">
        <f t="shared" si="2"/>
        <v>0.34747031717669175</v>
      </c>
      <c r="I10" s="22">
        <f t="shared" si="3"/>
        <v>0.32611287511060605</v>
      </c>
      <c r="J10" s="12">
        <f t="shared" si="4"/>
        <v>-2.1357442066085697E-2</v>
      </c>
      <c r="K10" s="45">
        <f t="shared" si="5"/>
        <v>557991999.99999988</v>
      </c>
      <c r="L10" s="45">
        <f t="shared" si="6"/>
        <v>-249967839945.63116</v>
      </c>
      <c r="M10" s="16">
        <f t="shared" si="7"/>
        <v>249193847945.63116</v>
      </c>
    </row>
    <row r="11" spans="1:16" x14ac:dyDescent="0.3">
      <c r="A11" s="31" t="s">
        <v>93</v>
      </c>
      <c r="B11" s="31"/>
      <c r="C11" s="25"/>
      <c r="D11" s="7"/>
      <c r="E11" s="7"/>
      <c r="H11" s="22"/>
      <c r="I11" s="22"/>
      <c r="J11" s="12"/>
      <c r="K11" s="16"/>
      <c r="L11" s="16"/>
      <c r="M11" s="16"/>
    </row>
    <row r="12" spans="1:16" x14ac:dyDescent="0.3">
      <c r="A12" s="25" t="s">
        <v>94</v>
      </c>
      <c r="B12" s="25">
        <f>D12/F12</f>
        <v>466089.46608946606</v>
      </c>
      <c r="C12" s="25">
        <f>E12/G12</f>
        <v>456227.27272727271</v>
      </c>
      <c r="D12" s="8">
        <v>9690000000</v>
      </c>
      <c r="E12" s="8">
        <v>10037000000</v>
      </c>
      <c r="F12" s="13">
        <f>G12*(1-0.055)</f>
        <v>20790</v>
      </c>
      <c r="G12" s="13">
        <v>22000</v>
      </c>
      <c r="H12" s="22">
        <f t="shared" si="2"/>
        <v>2.1199204308726852E-2</v>
      </c>
      <c r="I12" s="22">
        <f t="shared" si="3"/>
        <v>2.4317339299312693E-2</v>
      </c>
      <c r="J12" s="12">
        <f t="shared" si="4"/>
        <v>3.1181349905858406E-3</v>
      </c>
      <c r="K12" s="8">
        <f>(G12-F12)*C12</f>
        <v>552035000</v>
      </c>
      <c r="L12" s="8">
        <f>(C12-B12)*F12-M12</f>
        <v>-14408626231.103331</v>
      </c>
      <c r="M12" s="16">
        <f t="shared" si="7"/>
        <v>14203591231.103331</v>
      </c>
    </row>
    <row r="13" spans="1:16" x14ac:dyDescent="0.3">
      <c r="A13" s="26" t="s">
        <v>95</v>
      </c>
      <c r="B13" s="25">
        <f>D13/F13</f>
        <v>590971.15548728453</v>
      </c>
      <c r="C13" s="25">
        <f>E13/G13</f>
        <v>581555.67117585847</v>
      </c>
      <c r="D13" s="20">
        <v>8587000000</v>
      </c>
      <c r="E13" s="20">
        <v>8942000000</v>
      </c>
      <c r="F13" s="13">
        <f t="shared" ref="F13:F15" si="8">G13*(1-0.055)</f>
        <v>14530.32</v>
      </c>
      <c r="G13" s="13">
        <v>15376</v>
      </c>
      <c r="H13" s="22">
        <f t="shared" si="2"/>
        <v>2.6879213492747227E-2</v>
      </c>
      <c r="I13" s="22">
        <f t="shared" si="3"/>
        <v>3.0997459868815701E-2</v>
      </c>
      <c r="J13" s="12">
        <f t="shared" si="4"/>
        <v>4.118246376068474E-3</v>
      </c>
      <c r="K13" s="8">
        <f>(G13-F13)*C13</f>
        <v>491810000.00000018</v>
      </c>
      <c r="L13" s="8">
        <f>(C13-B13)*F13-M13</f>
        <v>1724481106.161109</v>
      </c>
      <c r="M13" s="16">
        <f t="shared" si="7"/>
        <v>-1861291106.1611092</v>
      </c>
      <c r="O13" s="40"/>
      <c r="P13" s="40"/>
    </row>
    <row r="14" spans="1:16" x14ac:dyDescent="0.3">
      <c r="A14" s="26" t="s">
        <v>96</v>
      </c>
      <c r="B14" s="25">
        <f>D14/F14</f>
        <v>47872.325620879012</v>
      </c>
      <c r="C14" s="25">
        <f>E14/G14</f>
        <v>66806.943713834829</v>
      </c>
      <c r="D14" s="20">
        <v>4300000000</v>
      </c>
      <c r="E14" s="20">
        <v>6350000000</v>
      </c>
      <c r="F14" s="13">
        <f t="shared" si="8"/>
        <v>89822.25</v>
      </c>
      <c r="G14" s="21">
        <v>95050</v>
      </c>
      <c r="H14" s="22">
        <f t="shared" si="2"/>
        <v>2.1773828533084919E-3</v>
      </c>
      <c r="I14" s="22">
        <f t="shared" si="3"/>
        <v>3.5608724312510658E-3</v>
      </c>
      <c r="J14" s="12">
        <f t="shared" si="4"/>
        <v>1.3834895779425739E-3</v>
      </c>
      <c r="K14" s="8">
        <f>(G14-F14)*C14</f>
        <v>349250000</v>
      </c>
      <c r="L14" s="8">
        <f>(C14-B14)*F14-M14</f>
        <v>-80996029010.073883</v>
      </c>
      <c r="M14" s="16">
        <f t="shared" si="7"/>
        <v>82696779010.073883</v>
      </c>
      <c r="O14" s="14"/>
      <c r="P14" s="14"/>
    </row>
    <row r="15" spans="1:16" x14ac:dyDescent="0.3">
      <c r="A15" s="26" t="s">
        <v>97</v>
      </c>
      <c r="B15" s="19">
        <f>D15/F15</f>
        <v>1080256.1960456697</v>
      </c>
      <c r="C15" s="19">
        <f>E15/G15</f>
        <v>1067789.4736842106</v>
      </c>
      <c r="D15" s="10">
        <v>4849000000</v>
      </c>
      <c r="E15" s="10">
        <v>5072000000</v>
      </c>
      <c r="F15" s="13">
        <f t="shared" si="8"/>
        <v>4488.75</v>
      </c>
      <c r="G15" s="21">
        <v>4750</v>
      </c>
      <c r="H15" s="22">
        <f t="shared" si="2"/>
        <v>4.9133424957826584E-2</v>
      </c>
      <c r="I15" s="22">
        <f t="shared" si="3"/>
        <v>5.6914175201743182E-2</v>
      </c>
      <c r="J15" s="12">
        <f t="shared" si="4"/>
        <v>7.7807502439165982E-3</v>
      </c>
      <c r="K15" s="10">
        <f>(G15-F15)*C15</f>
        <v>278960000</v>
      </c>
      <c r="L15" s="10">
        <f>(C15-B15)*F15-M15</f>
        <v>65957589377.156502</v>
      </c>
      <c r="M15" s="17">
        <f t="shared" si="7"/>
        <v>-66013549377.156502</v>
      </c>
      <c r="O15" s="21"/>
      <c r="P15" s="21"/>
    </row>
    <row r="16" spans="1:16" x14ac:dyDescent="0.3">
      <c r="A16" s="30" t="s">
        <v>22</v>
      </c>
      <c r="B16" s="37">
        <f>SUM(B5:B15)</f>
        <v>21986177.372591101</v>
      </c>
      <c r="C16" s="37">
        <f t="shared" ref="C16:E16" si="9">SUM(C5:C15)</f>
        <v>18761397.664100841</v>
      </c>
      <c r="D16" s="44">
        <f t="shared" si="9"/>
        <v>79990000000</v>
      </c>
      <c r="E16" s="44">
        <f t="shared" si="9"/>
        <v>85158000000</v>
      </c>
      <c r="F16" s="21"/>
      <c r="G16" s="21"/>
      <c r="H16" s="22"/>
      <c r="I16" s="22"/>
      <c r="J16" s="12"/>
      <c r="K16" s="16">
        <f>SUM(K5:K15)</f>
        <v>9995119000</v>
      </c>
      <c r="L16" s="16">
        <f t="shared" ref="L16:M16" si="10">SUM(L5:L15)</f>
        <v>-347522606383.27148</v>
      </c>
      <c r="M16" s="16">
        <f t="shared" si="10"/>
        <v>342695487383.27148</v>
      </c>
      <c r="N16" s="15"/>
      <c r="O16" s="15"/>
    </row>
    <row r="18" spans="1:16" x14ac:dyDescent="0.3">
      <c r="B18" s="46">
        <f>B16/9</f>
        <v>2442908.5969545669</v>
      </c>
      <c r="C18" s="46">
        <f>C16/9</f>
        <v>2084599.7404556489</v>
      </c>
    </row>
    <row r="19" spans="1:16" x14ac:dyDescent="0.3">
      <c r="A19" s="25"/>
      <c r="B19" s="25"/>
      <c r="C19" s="25"/>
    </row>
    <row r="20" spans="1:16" x14ac:dyDescent="0.3">
      <c r="A20" s="25"/>
      <c r="B20" s="25"/>
      <c r="C20" s="25"/>
      <c r="D20" s="26"/>
      <c r="E20" s="26"/>
      <c r="F20" s="21"/>
      <c r="G20" s="21"/>
      <c r="H20" s="22"/>
      <c r="I20" s="22"/>
      <c r="J20" s="12"/>
      <c r="K20" s="16"/>
      <c r="L20" s="29"/>
      <c r="M20" s="29"/>
    </row>
    <row r="21" spans="1:16" x14ac:dyDescent="0.3">
      <c r="A21" s="25"/>
      <c r="C21" s="25"/>
      <c r="D21" s="32" t="s">
        <v>80</v>
      </c>
      <c r="E21" s="32" t="s">
        <v>81</v>
      </c>
      <c r="F21" s="6" t="s">
        <v>87</v>
      </c>
      <c r="G21" s="6" t="s">
        <v>88</v>
      </c>
      <c r="H21" s="14" t="s">
        <v>16</v>
      </c>
      <c r="I21" s="14" t="s">
        <v>17</v>
      </c>
      <c r="J21" s="14" t="s">
        <v>18</v>
      </c>
      <c r="K21" s="14" t="s">
        <v>19</v>
      </c>
      <c r="L21" s="14" t="s">
        <v>20</v>
      </c>
      <c r="M21" s="14" t="s">
        <v>21</v>
      </c>
      <c r="O21" s="40" t="s">
        <v>90</v>
      </c>
      <c r="P21" s="40"/>
    </row>
    <row r="22" spans="1:16" x14ac:dyDescent="0.3">
      <c r="A22" s="38" t="s">
        <v>101</v>
      </c>
      <c r="C22" s="33"/>
      <c r="D22" s="18">
        <v>24596000000</v>
      </c>
      <c r="E22" s="18">
        <v>26553000000</v>
      </c>
      <c r="F22" s="21">
        <f>D22/$B$16</f>
        <v>1118.7028824147674</v>
      </c>
      <c r="G22" s="21">
        <f>E22/$C$16</f>
        <v>1415.2996741179932</v>
      </c>
      <c r="H22" s="11">
        <f>D22/$D$30</f>
        <v>0.40566706800151736</v>
      </c>
      <c r="I22" s="11">
        <f>E22/$E$30</f>
        <v>0.37880906185802327</v>
      </c>
      <c r="J22" s="12">
        <f>I22-H22</f>
        <v>-2.6858006143494095E-2</v>
      </c>
      <c r="K22" s="16">
        <f>-(G22-F22)*$C$18</f>
        <v>-618285595.00452268</v>
      </c>
      <c r="L22" s="16">
        <f>-($C$18)-($B$18)*F22-M22</f>
        <v>-15338873863.953671</v>
      </c>
      <c r="M22" s="16">
        <f>-$D$30*(F22-$O$23)*J22/100</f>
        <v>12603900375.324326</v>
      </c>
      <c r="O22" s="14">
        <v>2022</v>
      </c>
      <c r="P22" s="14">
        <v>2023</v>
      </c>
    </row>
    <row r="23" spans="1:16" x14ac:dyDescent="0.3">
      <c r="A23" s="18" t="s">
        <v>100</v>
      </c>
      <c r="C23" s="18"/>
      <c r="D23" s="7">
        <v>850000000</v>
      </c>
      <c r="E23" s="7">
        <v>777000000</v>
      </c>
      <c r="F23" s="21">
        <f t="shared" ref="F23:F27" si="11">D23/$B$16</f>
        <v>38.660654173546604</v>
      </c>
      <c r="G23" s="21">
        <f t="shared" ref="G23:G30" si="12">E23/$C$16</f>
        <v>41.414824945945121</v>
      </c>
      <c r="H23" s="11">
        <f>D23/$D$30</f>
        <v>1.4019231086407943E-2</v>
      </c>
      <c r="I23" s="11">
        <f>E23/$E$30</f>
        <v>1.1084797991326181E-2</v>
      </c>
      <c r="J23" s="12">
        <f t="shared" ref="J23:J27" si="13">I23-H23</f>
        <v>-2.9344330950817621E-3</v>
      </c>
      <c r="K23" s="16">
        <f t="shared" ref="K23:K29" si="14">-(G23-F23)*$C$18</f>
        <v>-5741343.6773124821</v>
      </c>
      <c r="L23" s="16">
        <f t="shared" ref="L23:L29" si="15">-($C$18)-($B$18)*F23-M23</f>
        <v>447988248.56942528</v>
      </c>
      <c r="M23" s="16">
        <f t="shared" ref="M23:M29" si="16">-$D$30*(F23-$O$23)*J23/100</f>
        <v>-544517292.75432539</v>
      </c>
      <c r="O23" s="15">
        <f>AVERAGE(F22:F29)</f>
        <v>344.71090047004469</v>
      </c>
      <c r="P23" s="15">
        <f>AVERAGE(G22:G29)</f>
        <v>467.02277500176456</v>
      </c>
    </row>
    <row r="24" spans="1:16" x14ac:dyDescent="0.3">
      <c r="A24" s="18" t="s">
        <v>99</v>
      </c>
      <c r="C24" s="18"/>
      <c r="D24" s="7">
        <v>14100000000</v>
      </c>
      <c r="E24" s="7">
        <v>15100000000</v>
      </c>
      <c r="F24" s="21">
        <f t="shared" si="11"/>
        <v>641.31202805530245</v>
      </c>
      <c r="G24" s="21">
        <f t="shared" si="12"/>
        <v>804.84408839610205</v>
      </c>
      <c r="H24" s="11">
        <f>D24/$D$30</f>
        <v>0.23255430390394352</v>
      </c>
      <c r="I24" s="11">
        <f>E24/$E$30</f>
        <v>0.21541885414288975</v>
      </c>
      <c r="J24" s="12">
        <f t="shared" si="13"/>
        <v>-1.7135449761053773E-2</v>
      </c>
      <c r="K24" s="16">
        <f t="shared" si="14"/>
        <v>-340898890.54260838</v>
      </c>
      <c r="L24" s="16">
        <f t="shared" si="15"/>
        <v>-4650257403.2708788</v>
      </c>
      <c r="M24" s="16">
        <f t="shared" si="16"/>
        <v>3081506136.8637562</v>
      </c>
    </row>
    <row r="25" spans="1:16" x14ac:dyDescent="0.3">
      <c r="A25" s="18" t="s">
        <v>102</v>
      </c>
      <c r="D25" s="7">
        <v>783000000</v>
      </c>
      <c r="E25" s="7">
        <v>313000000</v>
      </c>
      <c r="F25" s="21">
        <f t="shared" si="11"/>
        <v>35.613284962219986</v>
      </c>
      <c r="G25" s="21">
        <f t="shared" si="12"/>
        <v>16.68319203099205</v>
      </c>
      <c r="H25" s="11">
        <f>D25/$D$30</f>
        <v>1.2914185812538141E-2</v>
      </c>
      <c r="I25" s="11">
        <f>E25/$E$30</f>
        <v>4.4653047249486417E-3</v>
      </c>
      <c r="J25" s="12">
        <f t="shared" si="13"/>
        <v>-8.4488810875895E-3</v>
      </c>
      <c r="K25" s="16">
        <f t="shared" si="14"/>
        <v>39461666.811239071</v>
      </c>
      <c r="L25" s="16">
        <f t="shared" si="15"/>
        <v>1494311546.9660292</v>
      </c>
      <c r="M25" s="16">
        <f t="shared" si="16"/>
        <v>-1583396146.7064848</v>
      </c>
    </row>
    <row r="26" spans="1:16" x14ac:dyDescent="0.3">
      <c r="A26" s="18" t="s">
        <v>106</v>
      </c>
      <c r="C26" s="18"/>
      <c r="D26" s="7">
        <v>19127000000</v>
      </c>
      <c r="E26" s="7">
        <v>26164000000</v>
      </c>
      <c r="F26" s="21">
        <f>D26/$B$16</f>
        <v>869.95568514991282</v>
      </c>
      <c r="G26" s="21">
        <f>E26/$C$16</f>
        <v>1394.5656111785174</v>
      </c>
      <c r="H26" s="11">
        <f>D26/$D$30</f>
        <v>0.31546568587026441</v>
      </c>
      <c r="I26" s="11">
        <f>E26/$E$30</f>
        <v>0.3732595297877197</v>
      </c>
      <c r="J26" s="12">
        <f t="shared" si="13"/>
        <v>5.779384391745529E-2</v>
      </c>
      <c r="K26" s="16">
        <f t="shared" si="14"/>
        <v>-1093601715.6396863</v>
      </c>
      <c r="L26" s="16">
        <f t="shared" si="15"/>
        <v>16277788064.892542</v>
      </c>
      <c r="M26" s="16">
        <f t="shared" si="16"/>
        <v>-18405094886.855221</v>
      </c>
    </row>
    <row r="27" spans="1:16" x14ac:dyDescent="0.3">
      <c r="A27" s="18" t="s">
        <v>103</v>
      </c>
      <c r="C27" s="18"/>
      <c r="D27" s="7">
        <v>275000000</v>
      </c>
      <c r="E27" s="7">
        <v>489000000</v>
      </c>
      <c r="F27" s="21">
        <f t="shared" si="11"/>
        <v>12.507858703206253</v>
      </c>
      <c r="G27" s="21">
        <f t="shared" si="12"/>
        <v>26.06415624011218</v>
      </c>
      <c r="H27" s="11">
        <f>D27/$D$30</f>
        <v>4.5356335867790401E-3</v>
      </c>
      <c r="I27" s="11">
        <f>E27/$E$30</f>
        <v>6.9761469984021916E-3</v>
      </c>
      <c r="J27" s="12">
        <f t="shared" si="13"/>
        <v>2.4405134116231514E-3</v>
      </c>
      <c r="K27" s="16">
        <f t="shared" si="14"/>
        <v>-28259454.326973647</v>
      </c>
      <c r="L27" s="16">
        <f t="shared" si="15"/>
        <v>-524203549.71071249</v>
      </c>
      <c r="M27" s="16">
        <f t="shared" si="16"/>
        <v>491563394.41470128</v>
      </c>
    </row>
    <row r="28" spans="1:16" x14ac:dyDescent="0.3">
      <c r="A28" s="25" t="s">
        <v>77</v>
      </c>
      <c r="B28" s="25"/>
      <c r="D28" s="7">
        <v>700000000</v>
      </c>
      <c r="E28" s="7">
        <v>500000000</v>
      </c>
      <c r="F28" s="21">
        <f>D28/$B$16</f>
        <v>31.838185789979555</v>
      </c>
      <c r="G28" s="21">
        <f>E28/$C$16</f>
        <v>26.650466503182187</v>
      </c>
      <c r="H28" s="11">
        <f>D28/$D$30</f>
        <v>1.1545249129983013E-2</v>
      </c>
      <c r="I28" s="11">
        <f>E28/$E$30</f>
        <v>7.1330746404930385E-3</v>
      </c>
      <c r="J28" s="12">
        <f>I28-H28</f>
        <v>-4.4121744894899742E-3</v>
      </c>
      <c r="K28" s="16">
        <f t="shared" si="14"/>
        <v>10814318.278814556</v>
      </c>
      <c r="L28" s="16">
        <f t="shared" si="15"/>
        <v>757117661.83724737</v>
      </c>
      <c r="M28" s="16">
        <f t="shared" si="16"/>
        <v>-836980039.35548079</v>
      </c>
    </row>
    <row r="29" spans="1:16" x14ac:dyDescent="0.3">
      <c r="A29" s="18" t="s">
        <v>84</v>
      </c>
      <c r="B29" s="18"/>
      <c r="C29" s="18"/>
      <c r="D29" s="9">
        <v>200000000</v>
      </c>
      <c r="E29" s="9">
        <v>200000000</v>
      </c>
      <c r="F29" s="21">
        <f>D29/$B$16</f>
        <v>9.0966245114227302</v>
      </c>
      <c r="G29" s="21">
        <f>E29/$C$16</f>
        <v>10.660186601272875</v>
      </c>
      <c r="H29" s="11">
        <f>D29/$D$30</f>
        <v>3.2986426085665748E-3</v>
      </c>
      <c r="I29" s="11">
        <f>E29/$E$30</f>
        <v>2.8532298561972152E-3</v>
      </c>
      <c r="J29" s="12">
        <f>I29-H29</f>
        <v>-4.4541275236935959E-4</v>
      </c>
      <c r="K29" s="17">
        <f t="shared" si="14"/>
        <v>-3259401.126687903</v>
      </c>
      <c r="L29" s="17">
        <f t="shared" si="15"/>
        <v>66328567.273465626</v>
      </c>
      <c r="M29" s="17">
        <f t="shared" si="16"/>
        <v>-90635389.2361435</v>
      </c>
    </row>
    <row r="30" spans="1:16" x14ac:dyDescent="0.3">
      <c r="A30" s="47" t="s">
        <v>22</v>
      </c>
      <c r="B30" s="18"/>
      <c r="C30" s="18"/>
      <c r="D30" s="29">
        <f>SUM(D22:D29)</f>
        <v>60631000000</v>
      </c>
      <c r="E30" s="29">
        <f>SUM(E22:E29)</f>
        <v>70096000000</v>
      </c>
      <c r="K30" s="16">
        <f>SUM(K22:K29)</f>
        <v>-2039770415.2277379</v>
      </c>
      <c r="L30" s="16">
        <f>SUM(L22:L29)</f>
        <v>-1469800727.3965521</v>
      </c>
      <c r="M30" s="16">
        <f>SUM(M22:M29)</f>
        <v>-5283653848.3048716</v>
      </c>
    </row>
    <row r="32" spans="1:16" x14ac:dyDescent="0.3">
      <c r="A32" s="18"/>
      <c r="B32" s="18"/>
      <c r="C32" s="18"/>
      <c r="D32" s="16"/>
      <c r="E32" s="16"/>
    </row>
    <row r="33" spans="1:3" x14ac:dyDescent="0.3">
      <c r="A33" s="18"/>
      <c r="B33" s="18"/>
      <c r="C33" s="18"/>
    </row>
    <row r="37" spans="1:3" x14ac:dyDescent="0.3">
      <c r="A37" s="18"/>
      <c r="B37" s="18"/>
      <c r="C37" s="18"/>
    </row>
    <row r="38" spans="1:3" x14ac:dyDescent="0.3">
      <c r="A38" s="18"/>
      <c r="B38" s="18"/>
      <c r="C38" s="18"/>
    </row>
    <row r="39" spans="1:3" x14ac:dyDescent="0.3">
      <c r="A39" s="18"/>
      <c r="B39" s="18"/>
      <c r="C39" s="18"/>
    </row>
    <row r="40" spans="1:3" x14ac:dyDescent="0.3">
      <c r="A40" s="18"/>
      <c r="B40" s="18"/>
      <c r="C40" s="18"/>
    </row>
    <row r="41" spans="1:3" x14ac:dyDescent="0.3">
      <c r="A41" s="18"/>
      <c r="B41" s="18"/>
      <c r="C41" s="18"/>
    </row>
    <row r="42" spans="1:3" x14ac:dyDescent="0.3">
      <c r="A42" s="18"/>
      <c r="B42" s="18"/>
      <c r="C42" s="18"/>
    </row>
    <row r="43" spans="1:3" x14ac:dyDescent="0.3">
      <c r="A43" s="25"/>
      <c r="B43" s="25"/>
      <c r="C43" s="25"/>
    </row>
    <row r="44" spans="1:3" x14ac:dyDescent="0.3">
      <c r="A44" s="18"/>
      <c r="B44" s="18"/>
      <c r="C44" s="18"/>
    </row>
    <row r="45" spans="1:3" x14ac:dyDescent="0.3">
      <c r="A45" s="18"/>
      <c r="B45" s="18"/>
      <c r="C45" s="18"/>
    </row>
    <row r="46" spans="1:3" x14ac:dyDescent="0.3">
      <c r="A46" s="18"/>
      <c r="B46" s="18"/>
      <c r="C46" s="18"/>
    </row>
    <row r="47" spans="1:3" x14ac:dyDescent="0.3">
      <c r="A47" s="18"/>
      <c r="B47" s="18"/>
      <c r="C47" s="18"/>
    </row>
    <row r="48" spans="1:3" x14ac:dyDescent="0.3">
      <c r="A48" s="18"/>
      <c r="B48" s="18"/>
      <c r="C48" s="18"/>
    </row>
    <row r="49" spans="1:3" x14ac:dyDescent="0.3">
      <c r="A49" s="25"/>
      <c r="B49" s="25"/>
      <c r="C49" s="25"/>
    </row>
    <row r="50" spans="1:3" x14ac:dyDescent="0.3">
      <c r="A50" s="18"/>
      <c r="B50" s="18"/>
      <c r="C50" s="18"/>
    </row>
    <row r="52" spans="1:3" x14ac:dyDescent="0.3">
      <c r="A52" s="29"/>
      <c r="B52" s="29"/>
      <c r="C52" s="29"/>
    </row>
  </sheetData>
  <mergeCells count="5">
    <mergeCell ref="O21:P21"/>
    <mergeCell ref="A1:O1"/>
    <mergeCell ref="N7:O7"/>
    <mergeCell ref="O3:P3"/>
    <mergeCell ref="O13:P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Marriott Drivers</vt:lpstr>
      <vt:lpstr>Johnson &amp; Johnson Drivers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Caden Sorensen</cp:lastModifiedBy>
  <dcterms:created xsi:type="dcterms:W3CDTF">2020-05-19T17:08:15Z</dcterms:created>
  <dcterms:modified xsi:type="dcterms:W3CDTF">2024-10-18T18:28:17Z</dcterms:modified>
</cp:coreProperties>
</file>