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500" documentId="8_{F7F72A17-444F-493D-8271-1BD73881D326}" xr6:coauthVersionLast="47" xr6:coauthVersionMax="47" xr10:uidLastSave="{8F3CBB9D-9EE4-4843-A452-0B8AC6B465B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egments" sheetId="4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4" l="1"/>
  <c r="J82" i="3"/>
  <c r="J78" i="3"/>
  <c r="K78" i="3"/>
  <c r="L78" i="3" s="1"/>
  <c r="M78" i="3" s="1"/>
  <c r="N78" i="3" s="1"/>
  <c r="J74" i="3"/>
  <c r="J72" i="3" s="1"/>
  <c r="P45" i="4"/>
  <c r="K82" i="3"/>
  <c r="L82" i="3" s="1"/>
  <c r="M82" i="3" s="1"/>
  <c r="N82" i="3" s="1"/>
  <c r="C132" i="3"/>
  <c r="D132" i="3"/>
  <c r="E132" i="3"/>
  <c r="F132" i="3"/>
  <c r="G132" i="3"/>
  <c r="H132" i="3"/>
  <c r="I132" i="3"/>
  <c r="B132" i="3"/>
  <c r="J99" i="3"/>
  <c r="K99" i="3"/>
  <c r="L99" i="3"/>
  <c r="M99" i="3"/>
  <c r="N99" i="3"/>
  <c r="K45" i="3"/>
  <c r="L45" i="3"/>
  <c r="M45" i="3"/>
  <c r="N45" i="3"/>
  <c r="J45" i="3"/>
  <c r="K18" i="3"/>
  <c r="L18" i="3"/>
  <c r="M18" i="3"/>
  <c r="N18" i="3"/>
  <c r="J18" i="3"/>
  <c r="G1" i="4"/>
  <c r="F1" i="4" s="1"/>
  <c r="E1" i="4" s="1"/>
  <c r="D1" i="4" s="1"/>
  <c r="C1" i="4" s="1"/>
  <c r="B1" i="4" s="1"/>
  <c r="H1" i="4"/>
  <c r="J1" i="4"/>
  <c r="K1" i="4" s="1"/>
  <c r="L1" i="4" s="1"/>
  <c r="M1" i="4" s="1"/>
  <c r="N1" i="4" s="1"/>
  <c r="B3" i="4"/>
  <c r="C3" i="4"/>
  <c r="D3" i="4"/>
  <c r="E3" i="4"/>
  <c r="F3" i="4"/>
  <c r="G3" i="4"/>
  <c r="G27" i="4" s="1"/>
  <c r="H3" i="4"/>
  <c r="I3" i="4"/>
  <c r="P50" i="4" s="1"/>
  <c r="B4" i="4"/>
  <c r="C4" i="4"/>
  <c r="D4" i="4"/>
  <c r="E4" i="4"/>
  <c r="F4" i="4"/>
  <c r="G4" i="4"/>
  <c r="I4" i="4"/>
  <c r="B5" i="4"/>
  <c r="C5" i="4"/>
  <c r="D5" i="4"/>
  <c r="E5" i="4"/>
  <c r="F5" i="4"/>
  <c r="G5" i="4"/>
  <c r="H5" i="4"/>
  <c r="I5" i="4"/>
  <c r="B6" i="4"/>
  <c r="O6" i="4" s="1"/>
  <c r="C6" i="4"/>
  <c r="D6" i="4"/>
  <c r="E6" i="4"/>
  <c r="F6" i="4"/>
  <c r="G6" i="4"/>
  <c r="H6" i="4"/>
  <c r="I6" i="4"/>
  <c r="P6" i="4"/>
  <c r="B7" i="4"/>
  <c r="C7" i="4"/>
  <c r="D7" i="4"/>
  <c r="E7" i="4"/>
  <c r="F7" i="4"/>
  <c r="G7" i="4"/>
  <c r="H7" i="4"/>
  <c r="I7" i="4"/>
  <c r="E8" i="4"/>
  <c r="F8" i="4"/>
  <c r="G8" i="4"/>
  <c r="H8" i="4"/>
  <c r="D9" i="4"/>
  <c r="E9" i="4"/>
  <c r="F9" i="4"/>
  <c r="G9" i="4"/>
  <c r="H9" i="4"/>
  <c r="B10" i="4"/>
  <c r="C10" i="4"/>
  <c r="D10" i="4"/>
  <c r="D11" i="4" s="1"/>
  <c r="E10" i="4"/>
  <c r="F10" i="4"/>
  <c r="G10" i="4"/>
  <c r="G11" i="4" s="1"/>
  <c r="H10" i="4"/>
  <c r="I10" i="4"/>
  <c r="P10" i="4"/>
  <c r="B11" i="4"/>
  <c r="C11" i="4"/>
  <c r="F11" i="4"/>
  <c r="B12" i="4"/>
  <c r="C12" i="4"/>
  <c r="C15" i="4" s="1"/>
  <c r="D12" i="4"/>
  <c r="E12" i="4"/>
  <c r="E13" i="4" s="1"/>
  <c r="F12" i="4"/>
  <c r="G12" i="4"/>
  <c r="H12" i="4"/>
  <c r="I12" i="4"/>
  <c r="O12" i="4"/>
  <c r="B13" i="4"/>
  <c r="C13" i="4"/>
  <c r="H13" i="4"/>
  <c r="I13" i="4"/>
  <c r="B14" i="4"/>
  <c r="C14" i="4"/>
  <c r="D14" i="4"/>
  <c r="E14" i="4"/>
  <c r="F14" i="4"/>
  <c r="G14" i="4"/>
  <c r="H14" i="4"/>
  <c r="H15" i="4" s="1"/>
  <c r="H57" i="4" s="1"/>
  <c r="H61" i="4" s="1"/>
  <c r="H62" i="4" s="1"/>
  <c r="I14" i="4"/>
  <c r="P14" i="4" s="1"/>
  <c r="G15" i="4"/>
  <c r="B16" i="4"/>
  <c r="C16" i="4"/>
  <c r="D16" i="4"/>
  <c r="E16" i="4"/>
  <c r="F16" i="4"/>
  <c r="G16" i="4"/>
  <c r="H16" i="4"/>
  <c r="I16" i="4"/>
  <c r="O16" i="4" s="1"/>
  <c r="P16" i="4"/>
  <c r="B17" i="4"/>
  <c r="O18" i="4" s="1"/>
  <c r="C17" i="4"/>
  <c r="D17" i="4"/>
  <c r="E17" i="4"/>
  <c r="F17" i="4"/>
  <c r="G17" i="4"/>
  <c r="H17" i="4"/>
  <c r="I17" i="4"/>
  <c r="B18" i="4"/>
  <c r="C18" i="4"/>
  <c r="C22" i="4" s="1"/>
  <c r="D18" i="4"/>
  <c r="D19" i="4" s="1"/>
  <c r="E18" i="4"/>
  <c r="E19" i="4" s="1"/>
  <c r="F18" i="4"/>
  <c r="G18" i="4"/>
  <c r="H18" i="4"/>
  <c r="I18" i="4"/>
  <c r="P18" i="4"/>
  <c r="B19" i="4"/>
  <c r="C19" i="4"/>
  <c r="H19" i="4"/>
  <c r="I19" i="4"/>
  <c r="B20" i="4"/>
  <c r="B21" i="4" s="1"/>
  <c r="C20" i="4"/>
  <c r="D20" i="4"/>
  <c r="E20" i="4"/>
  <c r="F20" i="4"/>
  <c r="F21" i="4" s="1"/>
  <c r="G20" i="4"/>
  <c r="G22" i="4" s="1"/>
  <c r="H20" i="4"/>
  <c r="I20" i="4"/>
  <c r="D21" i="4"/>
  <c r="E21" i="4"/>
  <c r="B22" i="4"/>
  <c r="B25" i="4"/>
  <c r="C25" i="4"/>
  <c r="D25" i="4"/>
  <c r="E25" i="4"/>
  <c r="F25" i="4"/>
  <c r="G25" i="4"/>
  <c r="H25" i="4"/>
  <c r="I25" i="4"/>
  <c r="B26" i="4"/>
  <c r="O26" i="4" s="1"/>
  <c r="C26" i="4"/>
  <c r="C59" i="4" s="1"/>
  <c r="C61" i="4" s="1"/>
  <c r="D26" i="4"/>
  <c r="D27" i="4" s="1"/>
  <c r="E26" i="4"/>
  <c r="E27" i="4" s="1"/>
  <c r="F26" i="4"/>
  <c r="F27" i="4" s="1"/>
  <c r="G26" i="4"/>
  <c r="H26" i="4"/>
  <c r="H59" i="4" s="1"/>
  <c r="I26" i="4"/>
  <c r="P26" i="4"/>
  <c r="B27" i="4"/>
  <c r="C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O30" i="4" s="1"/>
  <c r="C30" i="4"/>
  <c r="D30" i="4"/>
  <c r="E30" i="4"/>
  <c r="F30" i="4"/>
  <c r="G30" i="4"/>
  <c r="H30" i="4"/>
  <c r="I30" i="4"/>
  <c r="P30" i="4"/>
  <c r="B32" i="4"/>
  <c r="C32" i="4"/>
  <c r="D32" i="4"/>
  <c r="E32" i="4"/>
  <c r="F32" i="4"/>
  <c r="G32" i="4"/>
  <c r="H32" i="4"/>
  <c r="I32" i="4"/>
  <c r="P32" i="4" s="1"/>
  <c r="B33" i="4"/>
  <c r="C33" i="4"/>
  <c r="D33" i="4"/>
  <c r="E33" i="4"/>
  <c r="F33" i="4"/>
  <c r="G33" i="4"/>
  <c r="H33" i="4"/>
  <c r="I33" i="4"/>
  <c r="B34" i="4"/>
  <c r="O34" i="4" s="1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O35" i="4"/>
  <c r="B36" i="4"/>
  <c r="C36" i="4"/>
  <c r="D36" i="4"/>
  <c r="E36" i="4"/>
  <c r="F36" i="4"/>
  <c r="G36" i="4"/>
  <c r="H36" i="4"/>
  <c r="I36" i="4"/>
  <c r="P36" i="4" s="1"/>
  <c r="B37" i="4"/>
  <c r="C37" i="4"/>
  <c r="D37" i="4"/>
  <c r="E37" i="4"/>
  <c r="F37" i="4"/>
  <c r="F52" i="4" s="1"/>
  <c r="G37" i="4"/>
  <c r="G52" i="4" s="1"/>
  <c r="H37" i="4"/>
  <c r="I37" i="4"/>
  <c r="B39" i="4"/>
  <c r="C39" i="4"/>
  <c r="D39" i="4"/>
  <c r="D77" i="4" s="1"/>
  <c r="E39" i="4"/>
  <c r="E77" i="4" s="1"/>
  <c r="F39" i="4"/>
  <c r="G39" i="4"/>
  <c r="H39" i="4"/>
  <c r="H77" i="4" s="1"/>
  <c r="I39" i="4"/>
  <c r="B40" i="4"/>
  <c r="C40" i="4"/>
  <c r="D40" i="4"/>
  <c r="E40" i="4"/>
  <c r="F40" i="4"/>
  <c r="G40" i="4"/>
  <c r="H40" i="4"/>
  <c r="I40" i="4"/>
  <c r="O40" i="4" s="1"/>
  <c r="B41" i="4"/>
  <c r="O41" i="4" s="1"/>
  <c r="C41" i="4"/>
  <c r="D41" i="4"/>
  <c r="E41" i="4"/>
  <c r="F41" i="4"/>
  <c r="G41" i="4"/>
  <c r="H41" i="4"/>
  <c r="I41" i="4"/>
  <c r="P41" i="4" s="1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O43" i="4"/>
  <c r="B44" i="4"/>
  <c r="C44" i="4"/>
  <c r="D44" i="4"/>
  <c r="E44" i="4"/>
  <c r="F44" i="4"/>
  <c r="G44" i="4"/>
  <c r="H44" i="4"/>
  <c r="I44" i="4"/>
  <c r="O44" i="4"/>
  <c r="P44" i="4"/>
  <c r="B45" i="4"/>
  <c r="O45" i="4" s="1"/>
  <c r="C45" i="4"/>
  <c r="D45" i="4"/>
  <c r="E45" i="4"/>
  <c r="F45" i="4"/>
  <c r="G45" i="4"/>
  <c r="H45" i="4"/>
  <c r="I45" i="4"/>
  <c r="B47" i="4"/>
  <c r="C47" i="4"/>
  <c r="D47" i="4"/>
  <c r="E47" i="4"/>
  <c r="F47" i="4"/>
  <c r="G47" i="4"/>
  <c r="H47" i="4"/>
  <c r="I47" i="4"/>
  <c r="O47" i="4"/>
  <c r="P47" i="4"/>
  <c r="B48" i="4"/>
  <c r="C48" i="4"/>
  <c r="D48" i="4"/>
  <c r="E48" i="4"/>
  <c r="F48" i="4"/>
  <c r="H48" i="4"/>
  <c r="I48" i="4"/>
  <c r="O48" i="4" s="1"/>
  <c r="P48" i="4"/>
  <c r="B49" i="4"/>
  <c r="C49" i="4"/>
  <c r="D49" i="4"/>
  <c r="E49" i="4"/>
  <c r="F49" i="4"/>
  <c r="G49" i="4"/>
  <c r="H49" i="4"/>
  <c r="I49" i="4"/>
  <c r="O49" i="4" s="1"/>
  <c r="P49" i="4"/>
  <c r="B50" i="4"/>
  <c r="C50" i="4"/>
  <c r="D50" i="4"/>
  <c r="E50" i="4"/>
  <c r="F50" i="4"/>
  <c r="G50" i="4"/>
  <c r="H50" i="4"/>
  <c r="I50" i="4"/>
  <c r="O50" i="4"/>
  <c r="B51" i="4"/>
  <c r="C51" i="4"/>
  <c r="C52" i="4" s="1"/>
  <c r="D51" i="4"/>
  <c r="E51" i="4"/>
  <c r="F51" i="4"/>
  <c r="G51" i="4"/>
  <c r="H51" i="4"/>
  <c r="I51" i="4"/>
  <c r="O51" i="4"/>
  <c r="P51" i="4"/>
  <c r="B52" i="4"/>
  <c r="D52" i="4"/>
  <c r="H52" i="4"/>
  <c r="I52" i="4"/>
  <c r="B54" i="4"/>
  <c r="O54" i="4" s="1"/>
  <c r="C54" i="4"/>
  <c r="C57" i="4" s="1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O55" i="4"/>
  <c r="P55" i="4"/>
  <c r="B56" i="4"/>
  <c r="C56" i="4"/>
  <c r="D56" i="4"/>
  <c r="E56" i="4"/>
  <c r="F56" i="4"/>
  <c r="G56" i="4"/>
  <c r="H56" i="4"/>
  <c r="I56" i="4"/>
  <c r="O56" i="4"/>
  <c r="G57" i="4"/>
  <c r="G61" i="4" s="1"/>
  <c r="B58" i="4"/>
  <c r="O58" i="4" s="1"/>
  <c r="C58" i="4"/>
  <c r="D58" i="4"/>
  <c r="E58" i="4"/>
  <c r="F58" i="4"/>
  <c r="G58" i="4"/>
  <c r="H58" i="4"/>
  <c r="I58" i="4"/>
  <c r="P58" i="4"/>
  <c r="G59" i="4"/>
  <c r="I59" i="4"/>
  <c r="B60" i="4"/>
  <c r="C60" i="4"/>
  <c r="D60" i="4"/>
  <c r="E60" i="4"/>
  <c r="F60" i="4"/>
  <c r="G60" i="4"/>
  <c r="H60" i="4"/>
  <c r="I60" i="4"/>
  <c r="B63" i="4"/>
  <c r="C63" i="4"/>
  <c r="C62" i="4" s="1"/>
  <c r="D63" i="4"/>
  <c r="E63" i="4"/>
  <c r="F63" i="4"/>
  <c r="G63" i="4"/>
  <c r="G62" i="4" s="1"/>
  <c r="H63" i="4"/>
  <c r="I63" i="4"/>
  <c r="B64" i="4"/>
  <c r="C64" i="4"/>
  <c r="D64" i="4"/>
  <c r="E64" i="4"/>
  <c r="F64" i="4"/>
  <c r="G64" i="4"/>
  <c r="H64" i="4"/>
  <c r="I64" i="4"/>
  <c r="O64" i="4"/>
  <c r="P64" i="4"/>
  <c r="B65" i="4"/>
  <c r="C65" i="4"/>
  <c r="D65" i="4"/>
  <c r="E65" i="4"/>
  <c r="F65" i="4"/>
  <c r="G65" i="4"/>
  <c r="H65" i="4"/>
  <c r="I65" i="4"/>
  <c r="O65" i="4"/>
  <c r="B66" i="4"/>
  <c r="C66" i="4"/>
  <c r="D66" i="4"/>
  <c r="E66" i="4"/>
  <c r="F66" i="4"/>
  <c r="G66" i="4"/>
  <c r="H66" i="4"/>
  <c r="I66" i="4"/>
  <c r="B67" i="4"/>
  <c r="C67" i="4"/>
  <c r="D67" i="4"/>
  <c r="D68" i="4" s="1"/>
  <c r="E67" i="4"/>
  <c r="E68" i="4" s="1"/>
  <c r="F67" i="4"/>
  <c r="F68" i="4" s="1"/>
  <c r="G67" i="4"/>
  <c r="H67" i="4"/>
  <c r="I67" i="4"/>
  <c r="B68" i="4"/>
  <c r="C68" i="4"/>
  <c r="H68" i="4"/>
  <c r="I68" i="4"/>
  <c r="J68" i="4"/>
  <c r="K68" i="4"/>
  <c r="L68" i="4"/>
  <c r="M68" i="4"/>
  <c r="N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P71" i="4" s="1"/>
  <c r="B72" i="4"/>
  <c r="C72" i="4"/>
  <c r="D72" i="4"/>
  <c r="E72" i="4"/>
  <c r="F72" i="4"/>
  <c r="G72" i="4"/>
  <c r="H72" i="4"/>
  <c r="I72" i="4"/>
  <c r="B73" i="4"/>
  <c r="C73" i="4"/>
  <c r="D73" i="4"/>
  <c r="E73" i="4"/>
  <c r="F73" i="4"/>
  <c r="G73" i="4"/>
  <c r="H73" i="4"/>
  <c r="I73" i="4"/>
  <c r="P73" i="4" s="1"/>
  <c r="O73" i="4"/>
  <c r="B74" i="4"/>
  <c r="C74" i="4"/>
  <c r="D74" i="4"/>
  <c r="E74" i="4"/>
  <c r="F74" i="4"/>
  <c r="G74" i="4"/>
  <c r="H74" i="4"/>
  <c r="I74" i="4"/>
  <c r="B75" i="4"/>
  <c r="C75" i="4"/>
  <c r="C76" i="4" s="1"/>
  <c r="D75" i="4"/>
  <c r="E75" i="4"/>
  <c r="E76" i="4" s="1"/>
  <c r="F75" i="4"/>
  <c r="G75" i="4"/>
  <c r="G76" i="4" s="1"/>
  <c r="H75" i="4"/>
  <c r="I75" i="4"/>
  <c r="J75" i="4"/>
  <c r="O75" i="4"/>
  <c r="P75" i="4"/>
  <c r="B76" i="4"/>
  <c r="D76" i="4"/>
  <c r="H76" i="4"/>
  <c r="I76" i="4"/>
  <c r="P76" i="4" s="1"/>
  <c r="K74" i="3" l="1"/>
  <c r="L74" i="3" s="1"/>
  <c r="M74" i="3" s="1"/>
  <c r="N74" i="3" s="1"/>
  <c r="N72" i="3"/>
  <c r="M72" i="3"/>
  <c r="L72" i="3"/>
  <c r="K72" i="3"/>
  <c r="J83" i="3"/>
  <c r="G77" i="4"/>
  <c r="P60" i="4"/>
  <c r="O60" i="4"/>
  <c r="F77" i="4"/>
  <c r="E11" i="4"/>
  <c r="P7" i="4"/>
  <c r="O7" i="4"/>
  <c r="I9" i="4"/>
  <c r="I8" i="4"/>
  <c r="D62" i="4"/>
  <c r="O42" i="4"/>
  <c r="P42" i="4"/>
  <c r="I22" i="4"/>
  <c r="I21" i="4"/>
  <c r="P54" i="4"/>
  <c r="O5" i="4"/>
  <c r="P5" i="4"/>
  <c r="H21" i="4"/>
  <c r="H22" i="4"/>
  <c r="O59" i="4"/>
  <c r="P59" i="4"/>
  <c r="O29" i="4"/>
  <c r="P29" i="4"/>
  <c r="S29" i="4"/>
  <c r="P3" i="4"/>
  <c r="P28" i="4"/>
  <c r="S28" i="4"/>
  <c r="F19" i="4"/>
  <c r="P19" i="4" s="1"/>
  <c r="J18" i="4" s="1"/>
  <c r="G19" i="4"/>
  <c r="I77" i="4"/>
  <c r="P77" i="4" s="1"/>
  <c r="O72" i="4"/>
  <c r="P72" i="4"/>
  <c r="F13" i="4"/>
  <c r="G13" i="4"/>
  <c r="C77" i="4"/>
  <c r="G21" i="4"/>
  <c r="D57" i="4"/>
  <c r="D61" i="4" s="1"/>
  <c r="B77" i="4"/>
  <c r="O76" i="4"/>
  <c r="E52" i="4"/>
  <c r="O36" i="4"/>
  <c r="O32" i="4"/>
  <c r="I11" i="4"/>
  <c r="O10" i="4"/>
  <c r="C8" i="4"/>
  <c r="D8" i="4"/>
  <c r="C9" i="4"/>
  <c r="E59" i="4"/>
  <c r="D13" i="4"/>
  <c r="D15" i="4"/>
  <c r="P35" i="4"/>
  <c r="S30" i="4"/>
  <c r="F22" i="4"/>
  <c r="F15" i="4"/>
  <c r="F57" i="4" s="1"/>
  <c r="F61" i="4" s="1"/>
  <c r="F62" i="4" s="1"/>
  <c r="P12" i="4"/>
  <c r="H11" i="4"/>
  <c r="B8" i="4"/>
  <c r="B9" i="4"/>
  <c r="D59" i="4"/>
  <c r="F76" i="4"/>
  <c r="O28" i="4"/>
  <c r="E22" i="4"/>
  <c r="J17" i="4"/>
  <c r="K17" i="4" s="1"/>
  <c r="L17" i="4" s="1"/>
  <c r="M17" i="4" s="1"/>
  <c r="N17" i="4" s="1"/>
  <c r="E15" i="4"/>
  <c r="E57" i="4" s="1"/>
  <c r="O69" i="4"/>
  <c r="P43" i="4"/>
  <c r="P40" i="4"/>
  <c r="O39" i="4"/>
  <c r="O37" i="4"/>
  <c r="P37" i="4"/>
  <c r="P34" i="4"/>
  <c r="D22" i="4"/>
  <c r="O14" i="4"/>
  <c r="B15" i="4"/>
  <c r="B57" i="4" s="1"/>
  <c r="H4" i="4"/>
  <c r="O3" i="4"/>
  <c r="F59" i="4"/>
  <c r="I15" i="4"/>
  <c r="I57" i="4" s="1"/>
  <c r="O71" i="4"/>
  <c r="G68" i="4"/>
  <c r="P65" i="4"/>
  <c r="P56" i="4"/>
  <c r="P39" i="4"/>
  <c r="P33" i="4"/>
  <c r="O33" i="4"/>
  <c r="C21" i="4"/>
  <c r="H27" i="4"/>
  <c r="P57" i="4" l="1"/>
  <c r="I61" i="4"/>
  <c r="K18" i="4"/>
  <c r="J19" i="4"/>
  <c r="O77" i="4"/>
  <c r="O19" i="4"/>
  <c r="P21" i="4"/>
  <c r="J20" i="4" s="1"/>
  <c r="O21" i="4"/>
  <c r="B61" i="4"/>
  <c r="O57" i="4"/>
  <c r="E61" i="4"/>
  <c r="E62" i="4" s="1"/>
  <c r="J22" i="4" l="1"/>
  <c r="K20" i="4"/>
  <c r="J21" i="4"/>
  <c r="L18" i="4"/>
  <c r="K19" i="4"/>
  <c r="O61" i="4"/>
  <c r="B62" i="4"/>
  <c r="P61" i="4"/>
  <c r="I62" i="4"/>
  <c r="K22" i="4" l="1"/>
  <c r="L20" i="4"/>
  <c r="K21" i="4"/>
  <c r="L19" i="4"/>
  <c r="M18" i="4"/>
  <c r="O62" i="4"/>
  <c r="P62" i="4"/>
  <c r="M19" i="4" l="1"/>
  <c r="N18" i="4"/>
  <c r="N19" i="4" s="1"/>
  <c r="M20" i="4"/>
  <c r="L21" i="4"/>
  <c r="L22" i="4"/>
  <c r="N20" i="4" l="1"/>
  <c r="M21" i="4"/>
  <c r="M22" i="4"/>
  <c r="N21" i="4" l="1"/>
  <c r="N22" i="4"/>
  <c r="I179" i="3" l="1"/>
  <c r="H179" i="3"/>
  <c r="G179" i="3"/>
  <c r="F179" i="3"/>
  <c r="E179" i="3"/>
  <c r="D179" i="3"/>
  <c r="C179" i="3"/>
  <c r="B179" i="3"/>
  <c r="B180" i="3" s="1"/>
  <c r="I176" i="3"/>
  <c r="H176" i="3"/>
  <c r="G176" i="3"/>
  <c r="F176" i="3"/>
  <c r="E176" i="3"/>
  <c r="D176" i="3"/>
  <c r="C176" i="3"/>
  <c r="B176" i="3"/>
  <c r="B177" i="3" s="1"/>
  <c r="I173" i="3"/>
  <c r="H173" i="3"/>
  <c r="I174" i="3" s="1"/>
  <c r="G173" i="3"/>
  <c r="F173" i="3"/>
  <c r="E173" i="3"/>
  <c r="D173" i="3"/>
  <c r="C173" i="3"/>
  <c r="B173" i="3"/>
  <c r="I170" i="3"/>
  <c r="H170" i="3"/>
  <c r="G170" i="3"/>
  <c r="F170" i="3"/>
  <c r="E170" i="3"/>
  <c r="D170" i="3"/>
  <c r="C170" i="3"/>
  <c r="B170" i="3"/>
  <c r="I168" i="3"/>
  <c r="H168" i="3"/>
  <c r="G168" i="3"/>
  <c r="F168" i="3"/>
  <c r="E168" i="3"/>
  <c r="D168" i="3"/>
  <c r="C168" i="3"/>
  <c r="B168" i="3"/>
  <c r="B169" i="3" s="1"/>
  <c r="I164" i="3"/>
  <c r="H164" i="3"/>
  <c r="G164" i="3"/>
  <c r="F164" i="3"/>
  <c r="E164" i="3"/>
  <c r="D164" i="3"/>
  <c r="C164" i="3"/>
  <c r="B164" i="3"/>
  <c r="B165" i="3" s="1"/>
  <c r="I161" i="3"/>
  <c r="H161" i="3"/>
  <c r="G161" i="3"/>
  <c r="F161" i="3"/>
  <c r="E161" i="3"/>
  <c r="D161" i="3"/>
  <c r="C161" i="3"/>
  <c r="B161" i="3"/>
  <c r="B162" i="3" s="1"/>
  <c r="I158" i="3"/>
  <c r="H158" i="3"/>
  <c r="G158" i="3"/>
  <c r="F158" i="3"/>
  <c r="G159" i="3" s="1"/>
  <c r="E158" i="3"/>
  <c r="D158" i="3"/>
  <c r="C158" i="3"/>
  <c r="B158" i="3"/>
  <c r="I155" i="3"/>
  <c r="H155" i="3"/>
  <c r="G155" i="3"/>
  <c r="F155" i="3"/>
  <c r="E155" i="3"/>
  <c r="D155" i="3"/>
  <c r="C155" i="3"/>
  <c r="B155" i="3"/>
  <c r="B156" i="3" s="1"/>
  <c r="I153" i="3"/>
  <c r="H153" i="3"/>
  <c r="G153" i="3"/>
  <c r="F153" i="3"/>
  <c r="E153" i="3"/>
  <c r="D153" i="3"/>
  <c r="C153" i="3"/>
  <c r="B153" i="3"/>
  <c r="B154" i="3" s="1"/>
  <c r="I149" i="3"/>
  <c r="H149" i="3"/>
  <c r="G149" i="3"/>
  <c r="F149" i="3"/>
  <c r="E149" i="3"/>
  <c r="D149" i="3"/>
  <c r="C149" i="3"/>
  <c r="B149" i="3"/>
  <c r="B150" i="3" s="1"/>
  <c r="I146" i="3"/>
  <c r="H146" i="3"/>
  <c r="G146" i="3"/>
  <c r="F146" i="3"/>
  <c r="E146" i="3"/>
  <c r="D146" i="3"/>
  <c r="C146" i="3"/>
  <c r="B146" i="3"/>
  <c r="B147" i="3" s="1"/>
  <c r="I143" i="3"/>
  <c r="H143" i="3"/>
  <c r="G143" i="3"/>
  <c r="F143" i="3"/>
  <c r="E143" i="3"/>
  <c r="D143" i="3"/>
  <c r="C143" i="3"/>
  <c r="B143" i="3"/>
  <c r="B144" i="3" s="1"/>
  <c r="I140" i="3"/>
  <c r="H140" i="3"/>
  <c r="G140" i="3"/>
  <c r="F140" i="3"/>
  <c r="E140" i="3"/>
  <c r="D140" i="3"/>
  <c r="C140" i="3"/>
  <c r="B140" i="3"/>
  <c r="B141" i="3" s="1"/>
  <c r="I138" i="3"/>
  <c r="H138" i="3"/>
  <c r="G138" i="3"/>
  <c r="F138" i="3"/>
  <c r="E138" i="3"/>
  <c r="D138" i="3"/>
  <c r="C138" i="3"/>
  <c r="B138" i="3"/>
  <c r="I136" i="3"/>
  <c r="H136" i="3"/>
  <c r="G136" i="3"/>
  <c r="F136" i="3"/>
  <c r="E136" i="3"/>
  <c r="D136" i="3"/>
  <c r="C136" i="3"/>
  <c r="B136" i="3"/>
  <c r="I134" i="3"/>
  <c r="H134" i="3"/>
  <c r="G134" i="3"/>
  <c r="F134" i="3"/>
  <c r="E134" i="3"/>
  <c r="D134" i="3"/>
  <c r="C134" i="3"/>
  <c r="B134" i="3"/>
  <c r="B133" i="3"/>
  <c r="I130" i="3"/>
  <c r="H130" i="3"/>
  <c r="G130" i="3"/>
  <c r="F130" i="3"/>
  <c r="E130" i="3"/>
  <c r="D130" i="3"/>
  <c r="C130" i="3"/>
  <c r="B130" i="3"/>
  <c r="I128" i="3"/>
  <c r="H128" i="3"/>
  <c r="G128" i="3"/>
  <c r="F128" i="3"/>
  <c r="E128" i="3"/>
  <c r="D128" i="3"/>
  <c r="C128" i="3"/>
  <c r="B128" i="3"/>
  <c r="B129" i="3" s="1"/>
  <c r="I126" i="3"/>
  <c r="H126" i="3"/>
  <c r="G126" i="3"/>
  <c r="F126" i="3"/>
  <c r="E126" i="3"/>
  <c r="D126" i="3"/>
  <c r="C126" i="3"/>
  <c r="B126" i="3"/>
  <c r="B127" i="3" s="1"/>
  <c r="I122" i="3"/>
  <c r="H122" i="3"/>
  <c r="G122" i="3"/>
  <c r="F122" i="3"/>
  <c r="E122" i="3"/>
  <c r="D122" i="3"/>
  <c r="C122" i="3"/>
  <c r="D123" i="3" s="1"/>
  <c r="B122" i="3"/>
  <c r="I119" i="3"/>
  <c r="H119" i="3"/>
  <c r="G119" i="3"/>
  <c r="F119" i="3"/>
  <c r="E119" i="3"/>
  <c r="D119" i="3"/>
  <c r="C119" i="3"/>
  <c r="B119" i="3"/>
  <c r="I116" i="3"/>
  <c r="H116" i="3"/>
  <c r="G116" i="3"/>
  <c r="F116" i="3"/>
  <c r="E116" i="3"/>
  <c r="D116" i="3"/>
  <c r="C116" i="3"/>
  <c r="B116" i="3"/>
  <c r="B117" i="3" s="1"/>
  <c r="I113" i="3"/>
  <c r="H113" i="3"/>
  <c r="I114" i="3" s="1"/>
  <c r="G113" i="3"/>
  <c r="F113" i="3"/>
  <c r="E113" i="3"/>
  <c r="D113" i="3"/>
  <c r="C113" i="3"/>
  <c r="B113" i="3"/>
  <c r="B114" i="3" s="1"/>
  <c r="I111" i="3"/>
  <c r="H111" i="3"/>
  <c r="G111" i="3"/>
  <c r="F111" i="3"/>
  <c r="E111" i="3"/>
  <c r="D111" i="3"/>
  <c r="C111" i="3"/>
  <c r="B111" i="3"/>
  <c r="I109" i="3"/>
  <c r="H109" i="3"/>
  <c r="G109" i="3"/>
  <c r="H110" i="3" s="1"/>
  <c r="F109" i="3"/>
  <c r="E109" i="3"/>
  <c r="D109" i="3"/>
  <c r="C109" i="3"/>
  <c r="B109" i="3"/>
  <c r="B110" i="3" s="1"/>
  <c r="I107" i="3"/>
  <c r="H107" i="3"/>
  <c r="G107" i="3"/>
  <c r="F107" i="3"/>
  <c r="E107" i="3"/>
  <c r="D107" i="3"/>
  <c r="C107" i="3"/>
  <c r="B107" i="3"/>
  <c r="I105" i="3"/>
  <c r="H105" i="3"/>
  <c r="G105" i="3"/>
  <c r="F105" i="3"/>
  <c r="E105" i="3"/>
  <c r="D105" i="3"/>
  <c r="C105" i="3"/>
  <c r="B105" i="3"/>
  <c r="B106" i="3" s="1"/>
  <c r="I103" i="3"/>
  <c r="H103" i="3"/>
  <c r="G103" i="3"/>
  <c r="F103" i="3"/>
  <c r="E103" i="3"/>
  <c r="D103" i="3"/>
  <c r="C103" i="3"/>
  <c r="B103" i="3"/>
  <c r="I101" i="3"/>
  <c r="H101" i="3"/>
  <c r="G101" i="3"/>
  <c r="F101" i="3"/>
  <c r="E101" i="3"/>
  <c r="D101" i="3"/>
  <c r="C101" i="3"/>
  <c r="B101" i="3"/>
  <c r="B102" i="3" s="1"/>
  <c r="I99" i="3"/>
  <c r="H99" i="3"/>
  <c r="G99" i="3"/>
  <c r="F99" i="3"/>
  <c r="E99" i="3"/>
  <c r="D99" i="3"/>
  <c r="C99" i="3"/>
  <c r="B99" i="3"/>
  <c r="B100" i="3" s="1"/>
  <c r="I95" i="3"/>
  <c r="H95" i="3"/>
  <c r="G95" i="3"/>
  <c r="F95" i="3"/>
  <c r="F96" i="3" s="1"/>
  <c r="E95" i="3"/>
  <c r="D95" i="3"/>
  <c r="C95" i="3"/>
  <c r="B95" i="3"/>
  <c r="B96" i="3" s="1"/>
  <c r="I92" i="3"/>
  <c r="H92" i="3"/>
  <c r="G92" i="3"/>
  <c r="F92" i="3"/>
  <c r="E92" i="3"/>
  <c r="D92" i="3"/>
  <c r="C92" i="3"/>
  <c r="B92" i="3"/>
  <c r="I89" i="3"/>
  <c r="H89" i="3"/>
  <c r="G89" i="3"/>
  <c r="F89" i="3"/>
  <c r="E89" i="3"/>
  <c r="D89" i="3"/>
  <c r="C89" i="3"/>
  <c r="B89" i="3"/>
  <c r="B90" i="3" s="1"/>
  <c r="I86" i="3"/>
  <c r="H86" i="3"/>
  <c r="G86" i="3"/>
  <c r="F86" i="3"/>
  <c r="E86" i="3"/>
  <c r="D86" i="3"/>
  <c r="C86" i="3"/>
  <c r="B86" i="3"/>
  <c r="B87" i="3" s="1"/>
  <c r="I84" i="3"/>
  <c r="H84" i="3"/>
  <c r="G84" i="3"/>
  <c r="F84" i="3"/>
  <c r="E84" i="3"/>
  <c r="D84" i="3"/>
  <c r="C84" i="3"/>
  <c r="B84" i="3"/>
  <c r="I82" i="3"/>
  <c r="H82" i="3"/>
  <c r="G82" i="3"/>
  <c r="F82" i="3"/>
  <c r="E82" i="3"/>
  <c r="D82" i="3"/>
  <c r="C82" i="3"/>
  <c r="B82" i="3"/>
  <c r="B83" i="3" s="1"/>
  <c r="I80" i="3"/>
  <c r="H80" i="3"/>
  <c r="G80" i="3"/>
  <c r="F80" i="3"/>
  <c r="E80" i="3"/>
  <c r="D80" i="3"/>
  <c r="C80" i="3"/>
  <c r="B80" i="3"/>
  <c r="I78" i="3"/>
  <c r="H78" i="3"/>
  <c r="G78" i="3"/>
  <c r="F78" i="3"/>
  <c r="E78" i="3"/>
  <c r="D78" i="3"/>
  <c r="C78" i="3"/>
  <c r="B78" i="3"/>
  <c r="B79" i="3" s="1"/>
  <c r="I76" i="3"/>
  <c r="H76" i="3"/>
  <c r="G76" i="3"/>
  <c r="F76" i="3"/>
  <c r="E76" i="3"/>
  <c r="D76" i="3"/>
  <c r="C76" i="3"/>
  <c r="B76" i="3"/>
  <c r="I74" i="3"/>
  <c r="H74" i="3"/>
  <c r="G74" i="3"/>
  <c r="F74" i="3"/>
  <c r="E74" i="3"/>
  <c r="D74" i="3"/>
  <c r="C74" i="3"/>
  <c r="B74" i="3"/>
  <c r="B75" i="3" s="1"/>
  <c r="I72" i="3"/>
  <c r="H72" i="3"/>
  <c r="G72" i="3"/>
  <c r="G73" i="3" s="1"/>
  <c r="F72" i="3"/>
  <c r="E72" i="3"/>
  <c r="D72" i="3"/>
  <c r="C72" i="3"/>
  <c r="B72" i="3"/>
  <c r="B73" i="3" s="1"/>
  <c r="I68" i="3"/>
  <c r="H68" i="3"/>
  <c r="G68" i="3"/>
  <c r="F68" i="3"/>
  <c r="E68" i="3"/>
  <c r="D68" i="3"/>
  <c r="C68" i="3"/>
  <c r="C69" i="3" s="1"/>
  <c r="B68" i="3"/>
  <c r="B69" i="3" s="1"/>
  <c r="I65" i="3"/>
  <c r="H65" i="3"/>
  <c r="G65" i="3"/>
  <c r="F65" i="3"/>
  <c r="E65" i="3"/>
  <c r="D65" i="3"/>
  <c r="C65" i="3"/>
  <c r="B65" i="3"/>
  <c r="I62" i="3"/>
  <c r="H62" i="3"/>
  <c r="G62" i="3"/>
  <c r="F62" i="3"/>
  <c r="E62" i="3"/>
  <c r="D62" i="3"/>
  <c r="C62" i="3"/>
  <c r="B62" i="3"/>
  <c r="B63" i="3" s="1"/>
  <c r="I59" i="3"/>
  <c r="H59" i="3"/>
  <c r="G59" i="3"/>
  <c r="F59" i="3"/>
  <c r="E59" i="3"/>
  <c r="D59" i="3"/>
  <c r="C59" i="3"/>
  <c r="B59" i="3"/>
  <c r="I57" i="3"/>
  <c r="H57" i="3"/>
  <c r="G57" i="3"/>
  <c r="F57" i="3"/>
  <c r="E57" i="3"/>
  <c r="D57" i="3"/>
  <c r="C57" i="3"/>
  <c r="B57" i="3"/>
  <c r="I55" i="3"/>
  <c r="H55" i="3"/>
  <c r="G55" i="3"/>
  <c r="F55" i="3"/>
  <c r="E55" i="3"/>
  <c r="D55" i="3"/>
  <c r="C55" i="3"/>
  <c r="B55" i="3"/>
  <c r="B56" i="3" s="1"/>
  <c r="I53" i="3"/>
  <c r="H53" i="3"/>
  <c r="G53" i="3"/>
  <c r="F53" i="3"/>
  <c r="E53" i="3"/>
  <c r="D53" i="3"/>
  <c r="C53" i="3"/>
  <c r="B53" i="3"/>
  <c r="I51" i="3"/>
  <c r="H51" i="3"/>
  <c r="G51" i="3"/>
  <c r="F51" i="3"/>
  <c r="E51" i="3"/>
  <c r="D51" i="3"/>
  <c r="C51" i="3"/>
  <c r="B51" i="3"/>
  <c r="B52" i="3" s="1"/>
  <c r="I49" i="3"/>
  <c r="H49" i="3"/>
  <c r="G49" i="3"/>
  <c r="F49" i="3"/>
  <c r="E49" i="3"/>
  <c r="D49" i="3"/>
  <c r="C49" i="3"/>
  <c r="B49" i="3"/>
  <c r="I47" i="3"/>
  <c r="H47" i="3"/>
  <c r="G47" i="3"/>
  <c r="F47" i="3"/>
  <c r="E47" i="3"/>
  <c r="D47" i="3"/>
  <c r="C47" i="3"/>
  <c r="B47" i="3"/>
  <c r="I45" i="3"/>
  <c r="H45" i="3"/>
  <c r="G45" i="3"/>
  <c r="F45" i="3"/>
  <c r="E45" i="3"/>
  <c r="D45" i="3"/>
  <c r="C45" i="3"/>
  <c r="B45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E39" i="3" s="1"/>
  <c r="C38" i="3"/>
  <c r="B38" i="3"/>
  <c r="I35" i="3"/>
  <c r="H35" i="3"/>
  <c r="G35" i="3"/>
  <c r="F35" i="3"/>
  <c r="E35" i="3"/>
  <c r="D35" i="3"/>
  <c r="C35" i="3"/>
  <c r="B35" i="3"/>
  <c r="B36" i="3" s="1"/>
  <c r="I32" i="3"/>
  <c r="H32" i="3"/>
  <c r="G32" i="3"/>
  <c r="F32" i="3"/>
  <c r="E32" i="3"/>
  <c r="D32" i="3"/>
  <c r="C32" i="3"/>
  <c r="B32" i="3"/>
  <c r="B33" i="3" s="1"/>
  <c r="I30" i="3"/>
  <c r="H30" i="3"/>
  <c r="G30" i="3"/>
  <c r="F30" i="3"/>
  <c r="E30" i="3"/>
  <c r="D30" i="3"/>
  <c r="C30" i="3"/>
  <c r="B30" i="3"/>
  <c r="I28" i="3"/>
  <c r="H28" i="3"/>
  <c r="G28" i="3"/>
  <c r="F28" i="3"/>
  <c r="E28" i="3"/>
  <c r="D28" i="3"/>
  <c r="C28" i="3"/>
  <c r="B28" i="3"/>
  <c r="B29" i="3" s="1"/>
  <c r="I26" i="3"/>
  <c r="H26" i="3"/>
  <c r="G26" i="3"/>
  <c r="F26" i="3"/>
  <c r="E26" i="3"/>
  <c r="D26" i="3"/>
  <c r="C26" i="3"/>
  <c r="B26" i="3"/>
  <c r="I24" i="3"/>
  <c r="H24" i="3"/>
  <c r="G24" i="3"/>
  <c r="F24" i="3"/>
  <c r="E24" i="3"/>
  <c r="D24" i="3"/>
  <c r="C24" i="3"/>
  <c r="B24" i="3"/>
  <c r="B25" i="3" s="1"/>
  <c r="I22" i="3"/>
  <c r="H22" i="3"/>
  <c r="G22" i="3"/>
  <c r="F22" i="3"/>
  <c r="E22" i="3"/>
  <c r="D22" i="3"/>
  <c r="C22" i="3"/>
  <c r="B22" i="3"/>
  <c r="I20" i="3"/>
  <c r="H20" i="3"/>
  <c r="G20" i="3"/>
  <c r="F20" i="3"/>
  <c r="E20" i="3"/>
  <c r="D20" i="3"/>
  <c r="C20" i="3"/>
  <c r="B20" i="3"/>
  <c r="B21" i="3" s="1"/>
  <c r="I18" i="3"/>
  <c r="H18" i="3"/>
  <c r="G18" i="3"/>
  <c r="F18" i="3"/>
  <c r="E18" i="3"/>
  <c r="D18" i="3"/>
  <c r="C18" i="3"/>
  <c r="B18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C181" i="1"/>
  <c r="B181" i="1"/>
  <c r="I180" i="1"/>
  <c r="I181" i="1" s="1"/>
  <c r="H180" i="1"/>
  <c r="H181" i="1" s="1"/>
  <c r="C180" i="1"/>
  <c r="B180" i="1"/>
  <c r="I177" i="1"/>
  <c r="H177" i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B177" i="1"/>
  <c r="I169" i="1"/>
  <c r="I170" i="1" s="1"/>
  <c r="H169" i="1"/>
  <c r="H170" i="1" s="1"/>
  <c r="I168" i="1"/>
  <c r="H168" i="1"/>
  <c r="G168" i="1"/>
  <c r="F168" i="1"/>
  <c r="E168" i="1"/>
  <c r="D168" i="1"/>
  <c r="I166" i="1"/>
  <c r="H166" i="1"/>
  <c r="G166" i="1"/>
  <c r="G169" i="1" s="1"/>
  <c r="G170" i="1" s="1"/>
  <c r="F166" i="1"/>
  <c r="F169" i="1" s="1"/>
  <c r="F170" i="1" s="1"/>
  <c r="E166" i="1"/>
  <c r="E169" i="1" s="1"/>
  <c r="E170" i="1" s="1"/>
  <c r="D166" i="1"/>
  <c r="D169" i="1" s="1"/>
  <c r="D170" i="1" s="1"/>
  <c r="C166" i="1"/>
  <c r="C168" i="1" s="1"/>
  <c r="B166" i="1"/>
  <c r="B168" i="1" s="1"/>
  <c r="I159" i="1"/>
  <c r="H159" i="1"/>
  <c r="I158" i="1"/>
  <c r="H158" i="1"/>
  <c r="G158" i="1"/>
  <c r="G159" i="1" s="1"/>
  <c r="F158" i="1"/>
  <c r="F159" i="1" s="1"/>
  <c r="E158" i="1"/>
  <c r="E159" i="1" s="1"/>
  <c r="D158" i="1"/>
  <c r="D159" i="1" s="1"/>
  <c r="I155" i="1"/>
  <c r="H155" i="1"/>
  <c r="G155" i="1"/>
  <c r="F155" i="1"/>
  <c r="E155" i="1"/>
  <c r="D155" i="1"/>
  <c r="C155" i="1"/>
  <c r="C158" i="1" s="1"/>
  <c r="C159" i="1" s="1"/>
  <c r="B155" i="1"/>
  <c r="B158" i="1" s="1"/>
  <c r="B159" i="1" s="1"/>
  <c r="I147" i="1"/>
  <c r="H147" i="1"/>
  <c r="G147" i="1"/>
  <c r="G148" i="1" s="1"/>
  <c r="F147" i="1"/>
  <c r="F148" i="1" s="1"/>
  <c r="E147" i="1"/>
  <c r="E148" i="1" s="1"/>
  <c r="D147" i="1"/>
  <c r="D148" i="1" s="1"/>
  <c r="I144" i="1"/>
  <c r="H144" i="1"/>
  <c r="G144" i="1"/>
  <c r="F144" i="1"/>
  <c r="E144" i="1"/>
  <c r="D144" i="1"/>
  <c r="C144" i="1"/>
  <c r="C147" i="1" s="1"/>
  <c r="B144" i="1"/>
  <c r="B147" i="1" s="1"/>
  <c r="I130" i="1"/>
  <c r="H130" i="1"/>
  <c r="G130" i="1"/>
  <c r="F130" i="1"/>
  <c r="E130" i="1"/>
  <c r="D130" i="1"/>
  <c r="C130" i="1"/>
  <c r="B130" i="1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I129" i="1" s="1"/>
  <c r="I136" i="1" s="1"/>
  <c r="H116" i="1"/>
  <c r="H129" i="1" s="1"/>
  <c r="H136" i="1" s="1"/>
  <c r="H137" i="1" s="1"/>
  <c r="G116" i="1"/>
  <c r="G129" i="1" s="1"/>
  <c r="G136" i="1" s="1"/>
  <c r="G137" i="1" s="1"/>
  <c r="F116" i="1"/>
  <c r="E116" i="1"/>
  <c r="D116" i="1"/>
  <c r="C116" i="1"/>
  <c r="B116" i="1"/>
  <c r="B129" i="1" s="1"/>
  <c r="B136" i="1" s="1"/>
  <c r="B137" i="1" s="1"/>
  <c r="I112" i="1"/>
  <c r="H112" i="1"/>
  <c r="G112" i="1"/>
  <c r="F112" i="1"/>
  <c r="F129" i="1" s="1"/>
  <c r="F136" i="1" s="1"/>
  <c r="F137" i="1" s="1"/>
  <c r="E112" i="1"/>
  <c r="E129" i="1" s="1"/>
  <c r="E136" i="1" s="1"/>
  <c r="E137" i="1" s="1"/>
  <c r="D112" i="1"/>
  <c r="D129" i="1" s="1"/>
  <c r="D136" i="1" s="1"/>
  <c r="D137" i="1" s="1"/>
  <c r="C112" i="1"/>
  <c r="C129" i="1" s="1"/>
  <c r="C136" i="1" s="1"/>
  <c r="C137" i="1" s="1"/>
  <c r="B112" i="1"/>
  <c r="I97" i="1"/>
  <c r="H97" i="1"/>
  <c r="G97" i="1"/>
  <c r="F97" i="1"/>
  <c r="E97" i="1"/>
  <c r="D97" i="1"/>
  <c r="C97" i="1"/>
  <c r="B97" i="1"/>
  <c r="I87" i="1"/>
  <c r="H87" i="1"/>
  <c r="G87" i="1"/>
  <c r="F87" i="1"/>
  <c r="E87" i="1"/>
  <c r="D87" i="1"/>
  <c r="C87" i="1"/>
  <c r="B87" i="1"/>
  <c r="G61" i="1"/>
  <c r="G62" i="1" s="1"/>
  <c r="F61" i="1"/>
  <c r="F62" i="1" s="1"/>
  <c r="E61" i="1"/>
  <c r="E62" i="1" s="1"/>
  <c r="D61" i="1"/>
  <c r="D62" i="1" s="1"/>
  <c r="I60" i="1"/>
  <c r="H60" i="1"/>
  <c r="G60" i="1"/>
  <c r="F60" i="1"/>
  <c r="E60" i="1"/>
  <c r="D60" i="1"/>
  <c r="C60" i="1"/>
  <c r="B60" i="1"/>
  <c r="I47" i="1"/>
  <c r="I61" i="1" s="1"/>
  <c r="I62" i="1" s="1"/>
  <c r="H47" i="1"/>
  <c r="H61" i="1" s="1"/>
  <c r="H62" i="1" s="1"/>
  <c r="G47" i="1"/>
  <c r="F47" i="1"/>
  <c r="E47" i="1"/>
  <c r="D47" i="1"/>
  <c r="C47" i="1"/>
  <c r="C61" i="1" s="1"/>
  <c r="B47" i="1"/>
  <c r="B61" i="1" s="1"/>
  <c r="I38" i="1"/>
  <c r="H38" i="1"/>
  <c r="G38" i="1"/>
  <c r="F38" i="1"/>
  <c r="E38" i="1"/>
  <c r="D38" i="1"/>
  <c r="I32" i="1"/>
  <c r="H32" i="1"/>
  <c r="G32" i="1"/>
  <c r="F32" i="1"/>
  <c r="E32" i="1"/>
  <c r="D32" i="1"/>
  <c r="C32" i="1"/>
  <c r="C38" i="1" s="1"/>
  <c r="B32" i="1"/>
  <c r="B38" i="1" s="1"/>
  <c r="I23" i="1"/>
  <c r="H23" i="1"/>
  <c r="G23" i="1"/>
  <c r="F23" i="1"/>
  <c r="E23" i="1"/>
  <c r="D23" i="1"/>
  <c r="C23" i="1"/>
  <c r="B23" i="1"/>
  <c r="G22" i="1"/>
  <c r="F22" i="1"/>
  <c r="E22" i="1"/>
  <c r="D22" i="1"/>
  <c r="G10" i="1"/>
  <c r="G12" i="1" s="1"/>
  <c r="F10" i="1"/>
  <c r="F12" i="1" s="1"/>
  <c r="E10" i="1"/>
  <c r="E12" i="1" s="1"/>
  <c r="D10" i="1"/>
  <c r="D12" i="1" s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F4" i="1"/>
  <c r="E4" i="1"/>
  <c r="D4" i="1"/>
  <c r="C4" i="1"/>
  <c r="C10" i="1" s="1"/>
  <c r="C12" i="1" s="1"/>
  <c r="B4" i="1"/>
  <c r="B10" i="1" s="1"/>
  <c r="B12" i="1" s="1"/>
  <c r="H1" i="1"/>
  <c r="G1" i="1"/>
  <c r="F1" i="1"/>
  <c r="E1" i="1"/>
  <c r="D1" i="1"/>
  <c r="C1" i="1"/>
  <c r="B1" i="1" s="1"/>
  <c r="H69" i="3" l="1"/>
  <c r="F117" i="3"/>
  <c r="D94" i="3"/>
  <c r="F46" i="3"/>
  <c r="F66" i="3"/>
  <c r="C46" i="3"/>
  <c r="G100" i="3"/>
  <c r="H150" i="3"/>
  <c r="G169" i="3"/>
  <c r="I91" i="3"/>
  <c r="E156" i="3"/>
  <c r="C162" i="3"/>
  <c r="E93" i="3"/>
  <c r="E137" i="3"/>
  <c r="E139" i="3" s="1"/>
  <c r="D25" i="3"/>
  <c r="F162" i="3"/>
  <c r="E87" i="3"/>
  <c r="H29" i="3"/>
  <c r="H31" i="3" s="1"/>
  <c r="H36" i="3"/>
  <c r="E42" i="3"/>
  <c r="I46" i="3"/>
  <c r="F56" i="3"/>
  <c r="F58" i="3" s="1"/>
  <c r="D174" i="3"/>
  <c r="G46" i="3"/>
  <c r="B27" i="3"/>
  <c r="H73" i="3"/>
  <c r="I165" i="3"/>
  <c r="G69" i="3"/>
  <c r="G102" i="3"/>
  <c r="G104" i="3" s="1"/>
  <c r="D150" i="3"/>
  <c r="D159" i="3"/>
  <c r="I100" i="3"/>
  <c r="E169" i="3"/>
  <c r="F48" i="3"/>
  <c r="F50" i="3" s="1"/>
  <c r="G36" i="3"/>
  <c r="H97" i="3"/>
  <c r="I106" i="3"/>
  <c r="I159" i="3"/>
  <c r="E36" i="3"/>
  <c r="I97" i="3"/>
  <c r="C137" i="3"/>
  <c r="C139" i="3" s="1"/>
  <c r="C8" i="3"/>
  <c r="H166" i="3"/>
  <c r="G33" i="3"/>
  <c r="E102" i="3"/>
  <c r="E104" i="3" s="1"/>
  <c r="H79" i="3"/>
  <c r="H81" i="3" s="1"/>
  <c r="C100" i="3"/>
  <c r="I21" i="3"/>
  <c r="I23" i="3" s="1"/>
  <c r="C120" i="3"/>
  <c r="C159" i="3"/>
  <c r="G162" i="3"/>
  <c r="H67" i="3"/>
  <c r="E90" i="3"/>
  <c r="F39" i="3"/>
  <c r="C75" i="3"/>
  <c r="C77" i="3" s="1"/>
  <c r="H94" i="3"/>
  <c r="D56" i="3"/>
  <c r="D58" i="3" s="1"/>
  <c r="H165" i="3"/>
  <c r="E120" i="3"/>
  <c r="I124" i="3"/>
  <c r="H115" i="3"/>
  <c r="H40" i="3"/>
  <c r="I148" i="3"/>
  <c r="B85" i="3"/>
  <c r="F127" i="3"/>
  <c r="I75" i="3"/>
  <c r="E114" i="3"/>
  <c r="H118" i="3"/>
  <c r="G123" i="3"/>
  <c r="P22" i="3"/>
  <c r="N22" i="3" s="1"/>
  <c r="I73" i="3"/>
  <c r="I118" i="3"/>
  <c r="H123" i="3"/>
  <c r="H33" i="3"/>
  <c r="E100" i="3"/>
  <c r="B77" i="3"/>
  <c r="E106" i="3"/>
  <c r="E108" i="3" s="1"/>
  <c r="G115" i="3"/>
  <c r="G147" i="3"/>
  <c r="C129" i="3"/>
  <c r="C131" i="3" s="1"/>
  <c r="F120" i="3"/>
  <c r="C36" i="3"/>
  <c r="D75" i="3"/>
  <c r="D77" i="3" s="1"/>
  <c r="B135" i="3"/>
  <c r="B137" i="3"/>
  <c r="B139" i="3" s="1"/>
  <c r="H145" i="3"/>
  <c r="F118" i="3"/>
  <c r="I34" i="3"/>
  <c r="D73" i="3"/>
  <c r="D87" i="3"/>
  <c r="H120" i="3"/>
  <c r="I96" i="3"/>
  <c r="B104" i="3"/>
  <c r="D141" i="3"/>
  <c r="G25" i="3"/>
  <c r="G27" i="3" s="1"/>
  <c r="B31" i="3"/>
  <c r="D102" i="3"/>
  <c r="D104" i="3" s="1"/>
  <c r="E127" i="3"/>
  <c r="H129" i="3"/>
  <c r="H131" i="3" s="1"/>
  <c r="I66" i="3"/>
  <c r="H14" i="3"/>
  <c r="B11" i="3"/>
  <c r="B12" i="3" s="1"/>
  <c r="H124" i="3"/>
  <c r="B148" i="3"/>
  <c r="G14" i="3"/>
  <c r="H48" i="3"/>
  <c r="H50" i="3" s="1"/>
  <c r="H61" i="3"/>
  <c r="E73" i="3"/>
  <c r="H102" i="3"/>
  <c r="H104" i="3" s="1"/>
  <c r="D8" i="3"/>
  <c r="F75" i="3"/>
  <c r="G83" i="3"/>
  <c r="G85" i="3" s="1"/>
  <c r="C127" i="3"/>
  <c r="I157" i="3"/>
  <c r="C171" i="3"/>
  <c r="D27" i="3"/>
  <c r="I14" i="3"/>
  <c r="B46" i="3"/>
  <c r="H83" i="3"/>
  <c r="H85" i="3" s="1"/>
  <c r="H93" i="3"/>
  <c r="H112" i="3"/>
  <c r="F129" i="3"/>
  <c r="F131" i="3" s="1"/>
  <c r="P57" i="3"/>
  <c r="M57" i="3" s="1"/>
  <c r="H178" i="3"/>
  <c r="H3" i="3"/>
  <c r="G11" i="3"/>
  <c r="E19" i="3"/>
  <c r="I8" i="3"/>
  <c r="I39" i="3"/>
  <c r="P49" i="3"/>
  <c r="J49" i="3" s="1"/>
  <c r="G66" i="3"/>
  <c r="B81" i="3"/>
  <c r="F123" i="3"/>
  <c r="C141" i="3"/>
  <c r="G144" i="3"/>
  <c r="G154" i="3"/>
  <c r="F43" i="3"/>
  <c r="E63" i="3"/>
  <c r="E150" i="3"/>
  <c r="F141" i="3"/>
  <c r="F14" i="3"/>
  <c r="F169" i="3"/>
  <c r="G56" i="3"/>
  <c r="G58" i="3" s="1"/>
  <c r="G63" i="3"/>
  <c r="F79" i="3"/>
  <c r="F81" i="3" s="1"/>
  <c r="D177" i="3"/>
  <c r="H56" i="3"/>
  <c r="H58" i="3" s="1"/>
  <c r="H19" i="3"/>
  <c r="C29" i="3"/>
  <c r="C31" i="3" s="1"/>
  <c r="C60" i="3"/>
  <c r="F106" i="3"/>
  <c r="F108" i="3" s="1"/>
  <c r="I25" i="3"/>
  <c r="I27" i="3" s="1"/>
  <c r="D156" i="3"/>
  <c r="I180" i="3"/>
  <c r="I3" i="3"/>
  <c r="F29" i="3"/>
  <c r="F31" i="3" s="1"/>
  <c r="E46" i="3"/>
  <c r="I63" i="3"/>
  <c r="P111" i="3"/>
  <c r="J111" i="3" s="1"/>
  <c r="D127" i="3"/>
  <c r="E147" i="3"/>
  <c r="F177" i="3"/>
  <c r="O30" i="3"/>
  <c r="E79" i="3"/>
  <c r="E81" i="3" s="1"/>
  <c r="H171" i="3"/>
  <c r="H34" i="3"/>
  <c r="H88" i="3"/>
  <c r="C156" i="3"/>
  <c r="H70" i="3"/>
  <c r="H169" i="3"/>
  <c r="E177" i="3"/>
  <c r="D21" i="3"/>
  <c r="D23" i="3" s="1"/>
  <c r="F61" i="3"/>
  <c r="I79" i="3"/>
  <c r="I81" i="3" s="1"/>
  <c r="C110" i="3"/>
  <c r="I123" i="3"/>
  <c r="B131" i="3"/>
  <c r="F110" i="3"/>
  <c r="F112" i="3" s="1"/>
  <c r="E133" i="3"/>
  <c r="E135" i="3" s="1"/>
  <c r="F144" i="3"/>
  <c r="C25" i="3"/>
  <c r="C27" i="3" s="1"/>
  <c r="P30" i="3"/>
  <c r="M30" i="3" s="1"/>
  <c r="E34" i="3"/>
  <c r="E11" i="3"/>
  <c r="O80" i="3"/>
  <c r="B112" i="3"/>
  <c r="H144" i="3"/>
  <c r="O22" i="3"/>
  <c r="F25" i="3"/>
  <c r="F27" i="3" s="1"/>
  <c r="F37" i="3"/>
  <c r="F42" i="3"/>
  <c r="B54" i="3"/>
  <c r="F73" i="3"/>
  <c r="E75" i="3"/>
  <c r="E77" i="3" s="1"/>
  <c r="O84" i="3"/>
  <c r="G93" i="3"/>
  <c r="H100" i="3"/>
  <c r="G114" i="3"/>
  <c r="G129" i="3"/>
  <c r="G131" i="3" s="1"/>
  <c r="G137" i="3"/>
  <c r="G139" i="3" s="1"/>
  <c r="C154" i="3"/>
  <c r="H177" i="3"/>
  <c r="E144" i="3"/>
  <c r="H154" i="3"/>
  <c r="H52" i="3"/>
  <c r="H54" i="3" s="1"/>
  <c r="C56" i="3"/>
  <c r="C58" i="3" s="1"/>
  <c r="E21" i="3"/>
  <c r="E23" i="3" s="1"/>
  <c r="D19" i="3"/>
  <c r="E8" i="3"/>
  <c r="F19" i="3"/>
  <c r="F77" i="3"/>
  <c r="P84" i="3"/>
  <c r="N84" i="3" s="1"/>
  <c r="F157" i="3"/>
  <c r="H37" i="3"/>
  <c r="H66" i="3"/>
  <c r="E110" i="3"/>
  <c r="E112" i="3" s="1"/>
  <c r="B120" i="3"/>
  <c r="G127" i="3"/>
  <c r="D144" i="3"/>
  <c r="C147" i="3"/>
  <c r="C150" i="3"/>
  <c r="E154" i="3"/>
  <c r="C177" i="3"/>
  <c r="F52" i="3"/>
  <c r="F54" i="3" s="1"/>
  <c r="O57" i="3"/>
  <c r="C61" i="3"/>
  <c r="I83" i="3"/>
  <c r="I85" i="3" s="1"/>
  <c r="D100" i="3"/>
  <c r="C102" i="3"/>
  <c r="C104" i="3" s="1"/>
  <c r="D120" i="3"/>
  <c r="H133" i="3"/>
  <c r="H135" i="3" s="1"/>
  <c r="I150" i="3"/>
  <c r="I177" i="3"/>
  <c r="E83" i="3"/>
  <c r="E85" i="3" s="1"/>
  <c r="I90" i="3"/>
  <c r="F21" i="3"/>
  <c r="F23" i="3" s="1"/>
  <c r="I29" i="3"/>
  <c r="I31" i="3" s="1"/>
  <c r="I110" i="3"/>
  <c r="I112" i="3" s="1"/>
  <c r="I160" i="3"/>
  <c r="B43" i="3"/>
  <c r="H11" i="3"/>
  <c r="H13" i="3" s="1"/>
  <c r="H21" i="3"/>
  <c r="H23" i="3" s="1"/>
  <c r="C33" i="3"/>
  <c r="C39" i="3"/>
  <c r="D48" i="3"/>
  <c r="D50" i="3" s="1"/>
  <c r="O76" i="3"/>
  <c r="G79" i="3"/>
  <c r="G81" i="3" s="1"/>
  <c r="P103" i="3"/>
  <c r="D110" i="3"/>
  <c r="D112" i="3" s="1"/>
  <c r="I133" i="3"/>
  <c r="I135" i="3" s="1"/>
  <c r="D137" i="3"/>
  <c r="D139" i="3" s="1"/>
  <c r="B58" i="3"/>
  <c r="D133" i="3"/>
  <c r="D135" i="3" s="1"/>
  <c r="C79" i="3"/>
  <c r="C81" i="3" s="1"/>
  <c r="B108" i="3"/>
  <c r="P26" i="3"/>
  <c r="J26" i="3" s="1"/>
  <c r="G21" i="3"/>
  <c r="G23" i="3" s="1"/>
  <c r="D34" i="3"/>
  <c r="F100" i="3"/>
  <c r="G110" i="3"/>
  <c r="G112" i="3" s="1"/>
  <c r="F137" i="3"/>
  <c r="F139" i="3" s="1"/>
  <c r="D70" i="3"/>
  <c r="C91" i="3"/>
  <c r="B91" i="3"/>
  <c r="H157" i="3"/>
  <c r="I156" i="3"/>
  <c r="F165" i="3"/>
  <c r="F166" i="3"/>
  <c r="C157" i="3"/>
  <c r="C88" i="3"/>
  <c r="C37" i="3"/>
  <c r="C163" i="3"/>
  <c r="C142" i="3"/>
  <c r="C64" i="3"/>
  <c r="C175" i="3"/>
  <c r="C151" i="3"/>
  <c r="C40" i="3"/>
  <c r="C3" i="3"/>
  <c r="G48" i="3"/>
  <c r="G50" i="3" s="1"/>
  <c r="E157" i="3"/>
  <c r="E166" i="3"/>
  <c r="E172" i="3"/>
  <c r="E145" i="3"/>
  <c r="E61" i="3"/>
  <c r="E178" i="3"/>
  <c r="E43" i="3"/>
  <c r="E151" i="3"/>
  <c r="E25" i="3"/>
  <c r="E27" i="3" s="1"/>
  <c r="C42" i="3"/>
  <c r="D52" i="3"/>
  <c r="D54" i="3" s="1"/>
  <c r="E52" i="3"/>
  <c r="E54" i="3" s="1"/>
  <c r="G61" i="3"/>
  <c r="G60" i="3"/>
  <c r="H60" i="3"/>
  <c r="B64" i="3"/>
  <c r="E69" i="3"/>
  <c r="E70" i="3"/>
  <c r="B70" i="3"/>
  <c r="E91" i="3"/>
  <c r="H127" i="3"/>
  <c r="I127" i="3"/>
  <c r="G175" i="3"/>
  <c r="G174" i="3"/>
  <c r="G106" i="3"/>
  <c r="G108" i="3" s="1"/>
  <c r="B5" i="3"/>
  <c r="F70" i="3"/>
  <c r="F64" i="3"/>
  <c r="F40" i="3"/>
  <c r="D46" i="3"/>
  <c r="I48" i="3"/>
  <c r="I50" i="3" s="1"/>
  <c r="F60" i="3"/>
  <c r="H121" i="3"/>
  <c r="I120" i="3"/>
  <c r="E148" i="3"/>
  <c r="F147" i="3"/>
  <c r="G150" i="3"/>
  <c r="F156" i="3"/>
  <c r="I94" i="3"/>
  <c r="I93" i="3"/>
  <c r="C121" i="3"/>
  <c r="I142" i="3"/>
  <c r="I141" i="3"/>
  <c r="E64" i="3"/>
  <c r="C70" i="3"/>
  <c r="P134" i="3"/>
  <c r="D169" i="3"/>
  <c r="C169" i="3"/>
  <c r="E40" i="3"/>
  <c r="I56" i="3"/>
  <c r="I58" i="3" s="1"/>
  <c r="B23" i="3"/>
  <c r="O26" i="3"/>
  <c r="G156" i="3"/>
  <c r="B157" i="3"/>
  <c r="B121" i="3"/>
  <c r="B163" i="3"/>
  <c r="B178" i="3"/>
  <c r="B142" i="3"/>
  <c r="B88" i="3"/>
  <c r="B3" i="3"/>
  <c r="B181" i="3"/>
  <c r="B175" i="3"/>
  <c r="B151" i="3"/>
  <c r="D33" i="3"/>
  <c r="D61" i="3"/>
  <c r="D60" i="3"/>
  <c r="E60" i="3"/>
  <c r="F150" i="3"/>
  <c r="F151" i="3"/>
  <c r="E33" i="3"/>
  <c r="D124" i="3"/>
  <c r="D151" i="3"/>
  <c r="D115" i="3"/>
  <c r="D64" i="3"/>
  <c r="D172" i="3"/>
  <c r="D148" i="3"/>
  <c r="D145" i="3"/>
  <c r="D121" i="3"/>
  <c r="D37" i="3"/>
  <c r="P138" i="3"/>
  <c r="O138" i="3"/>
  <c r="C148" i="3"/>
  <c r="D160" i="3"/>
  <c r="G166" i="3"/>
  <c r="G88" i="3"/>
  <c r="G145" i="3"/>
  <c r="G19" i="3"/>
  <c r="G124" i="3"/>
  <c r="G67" i="3"/>
  <c r="G160" i="3"/>
  <c r="G172" i="3"/>
  <c r="H75" i="3"/>
  <c r="H77" i="3" s="1"/>
  <c r="G75" i="3"/>
  <c r="G77" i="3" s="1"/>
  <c r="G94" i="3"/>
  <c r="D147" i="3"/>
  <c r="D5" i="3"/>
  <c r="B34" i="3"/>
  <c r="F11" i="3"/>
  <c r="D29" i="3"/>
  <c r="D31" i="3" s="1"/>
  <c r="E29" i="3"/>
  <c r="E31" i="3" s="1"/>
  <c r="C34" i="3"/>
  <c r="E37" i="3"/>
  <c r="C11" i="3"/>
  <c r="C66" i="3"/>
  <c r="C83" i="3"/>
  <c r="D83" i="3"/>
  <c r="D85" i="3" s="1"/>
  <c r="F5" i="3"/>
  <c r="G43" i="3"/>
  <c r="G42" i="3"/>
  <c r="B48" i="3"/>
  <c r="B50" i="3" s="1"/>
  <c r="C48" i="3"/>
  <c r="H63" i="3"/>
  <c r="H64" i="3"/>
  <c r="H8" i="3"/>
  <c r="D67" i="3"/>
  <c r="D66" i="3"/>
  <c r="H87" i="3"/>
  <c r="G151" i="3"/>
  <c r="H156" i="3"/>
  <c r="D163" i="3"/>
  <c r="D162" i="3"/>
  <c r="C178" i="3"/>
  <c r="F124" i="3"/>
  <c r="F142" i="3"/>
  <c r="F163" i="3"/>
  <c r="F148" i="3"/>
  <c r="F97" i="3"/>
  <c r="F181" i="3"/>
  <c r="F67" i="3"/>
  <c r="F145" i="3"/>
  <c r="F88" i="3"/>
  <c r="C172" i="3"/>
  <c r="C5" i="3"/>
  <c r="I61" i="3"/>
  <c r="I60" i="3"/>
  <c r="B37" i="3"/>
  <c r="G5" i="3"/>
  <c r="B14" i="3"/>
  <c r="C21" i="3"/>
  <c r="G34" i="3"/>
  <c r="I36" i="3"/>
  <c r="G37" i="3"/>
  <c r="I40" i="3"/>
  <c r="H42" i="3"/>
  <c r="H43" i="3"/>
  <c r="G52" i="3"/>
  <c r="G54" i="3" s="1"/>
  <c r="E56" i="3"/>
  <c r="E58" i="3" s="1"/>
  <c r="I64" i="3"/>
  <c r="C67" i="3"/>
  <c r="C106" i="3"/>
  <c r="D106" i="3"/>
  <c r="D108" i="3" s="1"/>
  <c r="O107" i="3"/>
  <c r="P107" i="3"/>
  <c r="H114" i="3"/>
  <c r="D175" i="3"/>
  <c r="D178" i="3"/>
  <c r="D40" i="3"/>
  <c r="D39" i="3"/>
  <c r="D11" i="3"/>
  <c r="F175" i="3"/>
  <c r="F36" i="3"/>
  <c r="F8" i="3"/>
  <c r="E5" i="3"/>
  <c r="D3" i="3"/>
  <c r="E3" i="3"/>
  <c r="F3" i="3"/>
  <c r="H5" i="3"/>
  <c r="I11" i="3"/>
  <c r="D14" i="3"/>
  <c r="B19" i="3"/>
  <c r="K30" i="3"/>
  <c r="I37" i="3"/>
  <c r="I43" i="3"/>
  <c r="I42" i="3"/>
  <c r="C43" i="3"/>
  <c r="B61" i="3"/>
  <c r="F63" i="3"/>
  <c r="D69" i="3"/>
  <c r="C97" i="3"/>
  <c r="C96" i="3"/>
  <c r="O111" i="3"/>
  <c r="G118" i="3"/>
  <c r="G117" i="3"/>
  <c r="G8" i="3"/>
  <c r="B145" i="3"/>
  <c r="D157" i="3"/>
  <c r="E175" i="3"/>
  <c r="E174" i="3"/>
  <c r="F174" i="3"/>
  <c r="G178" i="3"/>
  <c r="G3" i="3"/>
  <c r="B8" i="3"/>
  <c r="E14" i="3"/>
  <c r="C19" i="3"/>
  <c r="D43" i="3"/>
  <c r="O49" i="3"/>
  <c r="F69" i="3"/>
  <c r="C90" i="3"/>
  <c r="B115" i="3"/>
  <c r="H117" i="3"/>
  <c r="I117" i="3"/>
  <c r="D129" i="3"/>
  <c r="D131" i="3" s="1"/>
  <c r="E129" i="3"/>
  <c r="E131" i="3" s="1"/>
  <c r="C145" i="3"/>
  <c r="C144" i="3"/>
  <c r="G157" i="3"/>
  <c r="F178" i="3"/>
  <c r="G177" i="3"/>
  <c r="C14" i="3"/>
  <c r="I33" i="3"/>
  <c r="B94" i="3"/>
  <c r="B93" i="3"/>
  <c r="G121" i="3"/>
  <c r="G120" i="3"/>
  <c r="I172" i="3"/>
  <c r="I171" i="3"/>
  <c r="E180" i="3"/>
  <c r="F180" i="3"/>
  <c r="H137" i="3"/>
  <c r="H139" i="3" s="1"/>
  <c r="I137" i="3"/>
  <c r="I139" i="3" s="1"/>
  <c r="G163" i="3"/>
  <c r="I5" i="3"/>
  <c r="H25" i="3"/>
  <c r="H27" i="3" s="1"/>
  <c r="G29" i="3"/>
  <c r="G31" i="3" s="1"/>
  <c r="D42" i="3"/>
  <c r="H46" i="3"/>
  <c r="E88" i="3"/>
  <c r="O103" i="3"/>
  <c r="D142" i="3"/>
  <c r="H163" i="3"/>
  <c r="H162" i="3"/>
  <c r="C166" i="3"/>
  <c r="C165" i="3"/>
  <c r="C181" i="3"/>
  <c r="C180" i="3"/>
  <c r="I52" i="3"/>
  <c r="I54" i="3" s="1"/>
  <c r="I70" i="3"/>
  <c r="I69" i="3"/>
  <c r="I129" i="3"/>
  <c r="I131" i="3" s="1"/>
  <c r="I154" i="3"/>
  <c r="B166" i="3"/>
  <c r="F171" i="3"/>
  <c r="F172" i="3"/>
  <c r="B40" i="3"/>
  <c r="B39" i="3"/>
  <c r="I77" i="3"/>
  <c r="P80" i="3"/>
  <c r="C118" i="3"/>
  <c r="C117" i="3"/>
  <c r="F121" i="3"/>
  <c r="E142" i="3"/>
  <c r="C174" i="3"/>
  <c r="B174" i="3"/>
  <c r="D181" i="3"/>
  <c r="D180" i="3"/>
  <c r="E181" i="3"/>
  <c r="I67" i="3"/>
  <c r="I181" i="3"/>
  <c r="I175" i="3"/>
  <c r="I88" i="3"/>
  <c r="I19" i="3"/>
  <c r="G39" i="3"/>
  <c r="H39" i="3"/>
  <c r="G40" i="3"/>
  <c r="E48" i="3"/>
  <c r="E50" i="3" s="1"/>
  <c r="F102" i="3"/>
  <c r="F104" i="3" s="1"/>
  <c r="F154" i="3"/>
  <c r="O53" i="3"/>
  <c r="C73" i="3"/>
  <c r="F83" i="3"/>
  <c r="F85" i="3" s="1"/>
  <c r="F87" i="3"/>
  <c r="E115" i="3"/>
  <c r="G142" i="3"/>
  <c r="G141" i="3"/>
  <c r="I151" i="3"/>
  <c r="B160" i="3"/>
  <c r="I166" i="3"/>
  <c r="F34" i="3"/>
  <c r="F33" i="3"/>
  <c r="D36" i="3"/>
  <c r="P53" i="3"/>
  <c r="G64" i="3"/>
  <c r="B67" i="3"/>
  <c r="B66" i="3"/>
  <c r="P76" i="3"/>
  <c r="G87" i="3"/>
  <c r="F94" i="3"/>
  <c r="G96" i="3"/>
  <c r="G97" i="3"/>
  <c r="I108" i="3"/>
  <c r="E121" i="3"/>
  <c r="H148" i="3"/>
  <c r="H147" i="3"/>
  <c r="I147" i="3"/>
  <c r="C160" i="3"/>
  <c r="G180" i="3"/>
  <c r="G181" i="3"/>
  <c r="D79" i="3"/>
  <c r="D81" i="3" s="1"/>
  <c r="I102" i="3"/>
  <c r="I104" i="3" s="1"/>
  <c r="C112" i="3"/>
  <c r="I115" i="3"/>
  <c r="D118" i="3"/>
  <c r="H159" i="3"/>
  <c r="H160" i="3"/>
  <c r="G165" i="3"/>
  <c r="B172" i="3"/>
  <c r="B171" i="3"/>
  <c r="B60" i="3"/>
  <c r="C63" i="3"/>
  <c r="D63" i="3"/>
  <c r="E67" i="3"/>
  <c r="E66" i="3"/>
  <c r="G70" i="3"/>
  <c r="D88" i="3"/>
  <c r="E94" i="3"/>
  <c r="I145" i="3"/>
  <c r="I144" i="3"/>
  <c r="D154" i="3"/>
  <c r="I163" i="3"/>
  <c r="I162" i="3"/>
  <c r="I169" i="3"/>
  <c r="D171" i="3"/>
  <c r="E171" i="3"/>
  <c r="H181" i="3"/>
  <c r="H91" i="3"/>
  <c r="H172" i="3"/>
  <c r="H96" i="3"/>
  <c r="I121" i="3"/>
  <c r="E123" i="3"/>
  <c r="E124" i="3"/>
  <c r="H141" i="3"/>
  <c r="H142" i="3"/>
  <c r="H151" i="3"/>
  <c r="F160" i="3"/>
  <c r="F159" i="3"/>
  <c r="E163" i="3"/>
  <c r="E162" i="3"/>
  <c r="C52" i="3"/>
  <c r="C87" i="3"/>
  <c r="F91" i="3"/>
  <c r="D97" i="3"/>
  <c r="H106" i="3"/>
  <c r="H108" i="3" s="1"/>
  <c r="F115" i="3"/>
  <c r="C133" i="3"/>
  <c r="E160" i="3"/>
  <c r="E159" i="3"/>
  <c r="D91" i="3"/>
  <c r="D90" i="3"/>
  <c r="C93" i="3"/>
  <c r="D93" i="3"/>
  <c r="C94" i="3"/>
  <c r="B97" i="3"/>
  <c r="C114" i="3"/>
  <c r="D114" i="3"/>
  <c r="C115" i="3"/>
  <c r="B118" i="3"/>
  <c r="P130" i="3"/>
  <c r="O134" i="3"/>
  <c r="E141" i="3"/>
  <c r="G148" i="3"/>
  <c r="H180" i="3"/>
  <c r="I87" i="3"/>
  <c r="F90" i="3"/>
  <c r="F93" i="3"/>
  <c r="F114" i="3"/>
  <c r="B124" i="3"/>
  <c r="D166" i="3"/>
  <c r="D165" i="3"/>
  <c r="G171" i="3"/>
  <c r="H175" i="3"/>
  <c r="H174" i="3"/>
  <c r="I178" i="3"/>
  <c r="G91" i="3"/>
  <c r="G90" i="3"/>
  <c r="H90" i="3"/>
  <c r="E97" i="3"/>
  <c r="E96" i="3"/>
  <c r="D96" i="3"/>
  <c r="E118" i="3"/>
  <c r="E117" i="3"/>
  <c r="D117" i="3"/>
  <c r="C124" i="3"/>
  <c r="C123" i="3"/>
  <c r="B123" i="3"/>
  <c r="F133" i="3"/>
  <c r="F135" i="3" s="1"/>
  <c r="G133" i="3"/>
  <c r="G135" i="3" s="1"/>
  <c r="B159" i="3"/>
  <c r="E165" i="3"/>
  <c r="O130" i="3"/>
  <c r="D15" i="1"/>
  <c r="D14" i="1"/>
  <c r="D66" i="1"/>
  <c r="D78" i="1" s="1"/>
  <c r="D99" i="1" s="1"/>
  <c r="D101" i="1" s="1"/>
  <c r="D102" i="1" s="1"/>
  <c r="D20" i="1"/>
  <c r="H12" i="1"/>
  <c r="H148" i="1"/>
  <c r="I12" i="1"/>
  <c r="I148" i="1"/>
  <c r="C62" i="1"/>
  <c r="F15" i="1"/>
  <c r="F66" i="1"/>
  <c r="F78" i="1" s="1"/>
  <c r="F99" i="1" s="1"/>
  <c r="F101" i="1" s="1"/>
  <c r="F102" i="1" s="1"/>
  <c r="F20" i="1"/>
  <c r="F14" i="1"/>
  <c r="E15" i="1"/>
  <c r="E66" i="1"/>
  <c r="E78" i="1" s="1"/>
  <c r="E99" i="1" s="1"/>
  <c r="E101" i="1" s="1"/>
  <c r="E102" i="1" s="1"/>
  <c r="E14" i="1"/>
  <c r="E20" i="1"/>
  <c r="C15" i="1"/>
  <c r="C14" i="1"/>
  <c r="C66" i="1"/>
  <c r="C78" i="1" s="1"/>
  <c r="C99" i="1" s="1"/>
  <c r="C101" i="1" s="1"/>
  <c r="C102" i="1" s="1"/>
  <c r="C20" i="1"/>
  <c r="G66" i="1"/>
  <c r="G78" i="1" s="1"/>
  <c r="G99" i="1" s="1"/>
  <c r="G101" i="1" s="1"/>
  <c r="G102" i="1" s="1"/>
  <c r="G20" i="1"/>
  <c r="G14" i="1"/>
  <c r="G15" i="1"/>
  <c r="B62" i="1"/>
  <c r="B15" i="1"/>
  <c r="B20" i="1" s="1"/>
  <c r="B66" i="1"/>
  <c r="B78" i="1" s="1"/>
  <c r="B99" i="1" s="1"/>
  <c r="B101" i="1" s="1"/>
  <c r="B102" i="1" s="1"/>
  <c r="B14" i="1"/>
  <c r="B148" i="1"/>
  <c r="C148" i="1"/>
  <c r="I22" i="1"/>
  <c r="B169" i="1"/>
  <c r="B170" i="1" s="1"/>
  <c r="C169" i="1"/>
  <c r="C170" i="1" s="1"/>
  <c r="H22" i="1"/>
  <c r="B22" i="1"/>
  <c r="C22" i="1"/>
  <c r="M22" i="3" l="1"/>
  <c r="L22" i="3"/>
  <c r="N26" i="3"/>
  <c r="K26" i="3"/>
  <c r="P156" i="3"/>
  <c r="J155" i="3" s="1"/>
  <c r="H15" i="3"/>
  <c r="L57" i="3"/>
  <c r="G16" i="3"/>
  <c r="K57" i="3"/>
  <c r="J57" i="3"/>
  <c r="E4" i="3"/>
  <c r="K22" i="3"/>
  <c r="Q177" i="3"/>
  <c r="J176" i="3" s="1"/>
  <c r="J177" i="3" s="1"/>
  <c r="D9" i="3"/>
  <c r="N57" i="3"/>
  <c r="K49" i="3"/>
  <c r="P127" i="3"/>
  <c r="L49" i="3"/>
  <c r="O127" i="3"/>
  <c r="E9" i="3"/>
  <c r="N49" i="3"/>
  <c r="I15" i="3"/>
  <c r="I9" i="3"/>
  <c r="M49" i="3"/>
  <c r="I10" i="3"/>
  <c r="P154" i="3"/>
  <c r="O120" i="3"/>
  <c r="O156" i="3"/>
  <c r="J22" i="3"/>
  <c r="C10" i="3"/>
  <c r="H16" i="3"/>
  <c r="O100" i="3"/>
  <c r="P120" i="3"/>
  <c r="J119" i="3" s="1"/>
  <c r="J120" i="3" s="1"/>
  <c r="P150" i="3"/>
  <c r="J149" i="3" s="1"/>
  <c r="K149" i="3" s="1"/>
  <c r="O154" i="3"/>
  <c r="P159" i="3"/>
  <c r="J158" i="3" s="1"/>
  <c r="J159" i="3" s="1"/>
  <c r="G15" i="3"/>
  <c r="O141" i="3"/>
  <c r="P25" i="3"/>
  <c r="J24" i="3" s="1"/>
  <c r="J25" i="3" s="1"/>
  <c r="J27" i="3" s="1"/>
  <c r="O27" i="3"/>
  <c r="O177" i="3"/>
  <c r="I16" i="3"/>
  <c r="K111" i="3"/>
  <c r="I4" i="3"/>
  <c r="O79" i="3"/>
  <c r="K84" i="3"/>
  <c r="P75" i="3"/>
  <c r="J75" i="3" s="1"/>
  <c r="M84" i="3"/>
  <c r="M111" i="3"/>
  <c r="L111" i="3"/>
  <c r="P69" i="3"/>
  <c r="J68" i="3" s="1"/>
  <c r="J69" i="3" s="1"/>
  <c r="N111" i="3"/>
  <c r="H12" i="3"/>
  <c r="P100" i="3"/>
  <c r="J100" i="3" s="1"/>
  <c r="O150" i="3"/>
  <c r="O110" i="3"/>
  <c r="O36" i="3"/>
  <c r="Q154" i="3"/>
  <c r="J153" i="3" s="1"/>
  <c r="J154" i="3" s="1"/>
  <c r="P110" i="3"/>
  <c r="J109" i="3" s="1"/>
  <c r="J110" i="3" s="1"/>
  <c r="J112" i="3" s="1"/>
  <c r="E10" i="3"/>
  <c r="J103" i="3"/>
  <c r="L103" i="3"/>
  <c r="O147" i="3"/>
  <c r="P137" i="3"/>
  <c r="J136" i="3" s="1"/>
  <c r="K136" i="3" s="1"/>
  <c r="P33" i="3"/>
  <c r="J32" i="3" s="1"/>
  <c r="K32" i="3" s="1"/>
  <c r="K103" i="3"/>
  <c r="F4" i="3"/>
  <c r="J84" i="3"/>
  <c r="O33" i="3"/>
  <c r="P177" i="3"/>
  <c r="O171" i="3"/>
  <c r="M103" i="3"/>
  <c r="L84" i="3"/>
  <c r="N30" i="3"/>
  <c r="N103" i="3"/>
  <c r="L30" i="3"/>
  <c r="D4" i="3"/>
  <c r="O162" i="3"/>
  <c r="P60" i="3"/>
  <c r="J59" i="3" s="1"/>
  <c r="J60" i="3" s="1"/>
  <c r="J30" i="3"/>
  <c r="L26" i="3"/>
  <c r="O61" i="3"/>
  <c r="P147" i="3"/>
  <c r="J146" i="3" s="1"/>
  <c r="K146" i="3" s="1"/>
  <c r="M26" i="3"/>
  <c r="O46" i="3"/>
  <c r="P27" i="3"/>
  <c r="P171" i="3"/>
  <c r="O87" i="3"/>
  <c r="P87" i="3"/>
  <c r="J86" i="3" s="1"/>
  <c r="P81" i="3"/>
  <c r="O81" i="3"/>
  <c r="O106" i="3"/>
  <c r="C108" i="3"/>
  <c r="P106" i="3"/>
  <c r="J105" i="3" s="1"/>
  <c r="M138" i="3"/>
  <c r="N138" i="3"/>
  <c r="J138" i="3"/>
  <c r="L138" i="3"/>
  <c r="K138" i="3"/>
  <c r="O37" i="3"/>
  <c r="P37" i="3"/>
  <c r="H4" i="3"/>
  <c r="M80" i="3"/>
  <c r="L80" i="3"/>
  <c r="J80" i="3"/>
  <c r="K80" i="3"/>
  <c r="N80" i="3"/>
  <c r="O144" i="3"/>
  <c r="P144" i="3"/>
  <c r="J143" i="3" s="1"/>
  <c r="P36" i="3"/>
  <c r="J35" i="3" s="1"/>
  <c r="O123" i="3"/>
  <c r="P123" i="3"/>
  <c r="J122" i="3" s="1"/>
  <c r="O63" i="3"/>
  <c r="P63" i="3"/>
  <c r="J62" i="3" s="1"/>
  <c r="P141" i="3"/>
  <c r="J140" i="3" s="1"/>
  <c r="O145" i="3"/>
  <c r="P145" i="3"/>
  <c r="O60" i="3"/>
  <c r="P79" i="3"/>
  <c r="O69" i="3"/>
  <c r="C6" i="3"/>
  <c r="C7" i="3"/>
  <c r="K24" i="3"/>
  <c r="B13" i="3"/>
  <c r="B4" i="3"/>
  <c r="O102" i="3"/>
  <c r="O88" i="3"/>
  <c r="P88" i="3"/>
  <c r="P91" i="3"/>
  <c r="O91" i="3"/>
  <c r="P31" i="3"/>
  <c r="O31" i="3"/>
  <c r="I12" i="3"/>
  <c r="I13" i="3"/>
  <c r="P163" i="3"/>
  <c r="O163" i="3"/>
  <c r="O52" i="3"/>
  <c r="C54" i="3"/>
  <c r="P52" i="3"/>
  <c r="J51" i="3" s="1"/>
  <c r="B6" i="3"/>
  <c r="B7" i="3"/>
  <c r="O124" i="3"/>
  <c r="P124" i="3"/>
  <c r="O129" i="3"/>
  <c r="P19" i="3"/>
  <c r="O19" i="3"/>
  <c r="G9" i="3"/>
  <c r="G10" i="3"/>
  <c r="H7" i="3"/>
  <c r="H6" i="3"/>
  <c r="D12" i="3"/>
  <c r="D13" i="3"/>
  <c r="O172" i="3"/>
  <c r="P172" i="3"/>
  <c r="O178" i="3"/>
  <c r="P178" i="3"/>
  <c r="F6" i="3"/>
  <c r="F7" i="3"/>
  <c r="D10" i="3"/>
  <c r="P102" i="3"/>
  <c r="J101" i="3" s="1"/>
  <c r="P157" i="3"/>
  <c r="O157" i="3"/>
  <c r="O29" i="3"/>
  <c r="P181" i="3"/>
  <c r="O181" i="3"/>
  <c r="G4" i="3"/>
  <c r="G13" i="3"/>
  <c r="B15" i="3"/>
  <c r="B16" i="3"/>
  <c r="P61" i="3"/>
  <c r="C4" i="3"/>
  <c r="P162" i="3"/>
  <c r="J161" i="3" s="1"/>
  <c r="P46" i="3"/>
  <c r="E15" i="3"/>
  <c r="E16" i="3"/>
  <c r="O43" i="3"/>
  <c r="P43" i="3"/>
  <c r="O21" i="3"/>
  <c r="C23" i="3"/>
  <c r="P21" i="3"/>
  <c r="J20" i="3" s="1"/>
  <c r="O169" i="3"/>
  <c r="P169" i="3"/>
  <c r="O104" i="3"/>
  <c r="P104" i="3"/>
  <c r="P29" i="3"/>
  <c r="J28" i="3" s="1"/>
  <c r="O160" i="3"/>
  <c r="P160" i="3"/>
  <c r="O83" i="3"/>
  <c r="P83" i="3"/>
  <c r="C85" i="3"/>
  <c r="F15" i="3"/>
  <c r="P115" i="3"/>
  <c r="O115" i="3"/>
  <c r="C135" i="3"/>
  <c r="O133" i="3"/>
  <c r="P133" i="3"/>
  <c r="J132" i="3" s="1"/>
  <c r="J126" i="3" s="1"/>
  <c r="J3" i="3" s="1"/>
  <c r="Q171" i="3"/>
  <c r="J170" i="3" s="1"/>
  <c r="J127" i="3"/>
  <c r="P165" i="3"/>
  <c r="J164" i="3" s="1"/>
  <c r="O165" i="3"/>
  <c r="I7" i="3"/>
  <c r="I6" i="3"/>
  <c r="C15" i="3"/>
  <c r="C16" i="3"/>
  <c r="O96" i="3"/>
  <c r="P96" i="3"/>
  <c r="J95" i="3" s="1"/>
  <c r="G7" i="3"/>
  <c r="G6" i="3"/>
  <c r="H9" i="3"/>
  <c r="H10" i="3"/>
  <c r="O66" i="3"/>
  <c r="P66" i="3"/>
  <c r="J65" i="3" s="1"/>
  <c r="D6" i="3"/>
  <c r="D7" i="3"/>
  <c r="P40" i="3"/>
  <c r="O40" i="3"/>
  <c r="E12" i="3"/>
  <c r="M130" i="3"/>
  <c r="L130" i="3"/>
  <c r="N130" i="3"/>
  <c r="K130" i="3"/>
  <c r="J130" i="3"/>
  <c r="P67" i="3"/>
  <c r="O67" i="3"/>
  <c r="F13" i="3"/>
  <c r="G12" i="3"/>
  <c r="F12" i="3"/>
  <c r="O121" i="3"/>
  <c r="P121" i="3"/>
  <c r="P174" i="3"/>
  <c r="J173" i="3" s="1"/>
  <c r="O174" i="3"/>
  <c r="Q180" i="3"/>
  <c r="J179" i="3" s="1"/>
  <c r="P180" i="3"/>
  <c r="O180" i="3"/>
  <c r="P129" i="3"/>
  <c r="J128" i="3" s="1"/>
  <c r="Q169" i="3"/>
  <c r="J168" i="3" s="1"/>
  <c r="K155" i="3"/>
  <c r="J156" i="3"/>
  <c r="O114" i="3"/>
  <c r="P114" i="3"/>
  <c r="J113" i="3" s="1"/>
  <c r="L53" i="3"/>
  <c r="J53" i="3"/>
  <c r="M53" i="3"/>
  <c r="K53" i="3"/>
  <c r="N53" i="3"/>
  <c r="P166" i="3"/>
  <c r="O166" i="3"/>
  <c r="O97" i="3"/>
  <c r="P97" i="3"/>
  <c r="E6" i="3"/>
  <c r="E7" i="3"/>
  <c r="C12" i="3"/>
  <c r="C13" i="3"/>
  <c r="L134" i="3"/>
  <c r="J134" i="3"/>
  <c r="M134" i="3"/>
  <c r="K134" i="3"/>
  <c r="N134" i="3"/>
  <c r="P151" i="3"/>
  <c r="O151" i="3"/>
  <c r="E13" i="3"/>
  <c r="K76" i="3"/>
  <c r="J76" i="3"/>
  <c r="N76" i="3"/>
  <c r="M76" i="3"/>
  <c r="L76" i="3"/>
  <c r="P131" i="3"/>
  <c r="O131" i="3"/>
  <c r="P39" i="3"/>
  <c r="J38" i="3" s="1"/>
  <c r="O39" i="3"/>
  <c r="B9" i="3"/>
  <c r="B10" i="3"/>
  <c r="P90" i="3"/>
  <c r="J89" i="3" s="1"/>
  <c r="O90" i="3"/>
  <c r="P77" i="3"/>
  <c r="O77" i="3"/>
  <c r="F9" i="3"/>
  <c r="F10" i="3"/>
  <c r="O56" i="3"/>
  <c r="P70" i="3"/>
  <c r="O70" i="3"/>
  <c r="O25" i="3"/>
  <c r="P175" i="3"/>
  <c r="O175" i="3"/>
  <c r="P56" i="3"/>
  <c r="J55" i="3" s="1"/>
  <c r="O93" i="3"/>
  <c r="P93" i="3"/>
  <c r="J92" i="3" s="1"/>
  <c r="O117" i="3"/>
  <c r="P117" i="3"/>
  <c r="J116" i="3" s="1"/>
  <c r="K107" i="3"/>
  <c r="J107" i="3"/>
  <c r="N107" i="3"/>
  <c r="L107" i="3"/>
  <c r="M107" i="3"/>
  <c r="P48" i="3"/>
  <c r="J47" i="3" s="1"/>
  <c r="O48" i="3"/>
  <c r="C50" i="3"/>
  <c r="P58" i="3"/>
  <c r="O58" i="3"/>
  <c r="F16" i="3"/>
  <c r="P42" i="3"/>
  <c r="J41" i="3" s="1"/>
  <c r="O42" i="3"/>
  <c r="P64" i="3"/>
  <c r="O64" i="3"/>
  <c r="P139" i="3"/>
  <c r="O139" i="3"/>
  <c r="C9" i="3"/>
  <c r="O94" i="3"/>
  <c r="P94" i="3"/>
  <c r="O159" i="3"/>
  <c r="P112" i="3"/>
  <c r="O112" i="3"/>
  <c r="O73" i="3"/>
  <c r="P73" i="3"/>
  <c r="O118" i="3"/>
  <c r="P118" i="3"/>
  <c r="O75" i="3"/>
  <c r="D15" i="3"/>
  <c r="D16" i="3"/>
  <c r="O34" i="3"/>
  <c r="P34" i="3"/>
  <c r="P148" i="3"/>
  <c r="O148" i="3"/>
  <c r="P142" i="3"/>
  <c r="O142" i="3"/>
  <c r="O137" i="3"/>
  <c r="I66" i="1"/>
  <c r="I78" i="1" s="1"/>
  <c r="I99" i="1" s="1"/>
  <c r="I20" i="1"/>
  <c r="H66" i="1"/>
  <c r="H78" i="1" s="1"/>
  <c r="H99" i="1" s="1"/>
  <c r="H101" i="1" s="1"/>
  <c r="H20" i="1"/>
  <c r="J150" i="3" l="1"/>
  <c r="J121" i="3"/>
  <c r="K119" i="3"/>
  <c r="K176" i="3"/>
  <c r="L176" i="3" s="1"/>
  <c r="K158" i="3"/>
  <c r="K159" i="3" s="1"/>
  <c r="K68" i="3"/>
  <c r="J137" i="3"/>
  <c r="J139" i="3" s="1"/>
  <c r="J34" i="3"/>
  <c r="J178" i="3"/>
  <c r="K153" i="3"/>
  <c r="L153" i="3" s="1"/>
  <c r="J157" i="3"/>
  <c r="J148" i="3"/>
  <c r="K59" i="3"/>
  <c r="P10" i="3"/>
  <c r="J147" i="3"/>
  <c r="K109" i="3"/>
  <c r="K110" i="3" s="1"/>
  <c r="K112" i="3" s="1"/>
  <c r="J160" i="3"/>
  <c r="J33" i="3"/>
  <c r="J151" i="3"/>
  <c r="O54" i="3"/>
  <c r="P54" i="3"/>
  <c r="K47" i="3"/>
  <c r="J48" i="3"/>
  <c r="J50" i="3" s="1"/>
  <c r="P108" i="3"/>
  <c r="O108" i="3"/>
  <c r="K101" i="3"/>
  <c r="J102" i="3"/>
  <c r="J104" i="3" s="1"/>
  <c r="K33" i="3"/>
  <c r="L32" i="3"/>
  <c r="O4" i="3"/>
  <c r="P4" i="3"/>
  <c r="J3" i="4" s="1"/>
  <c r="J45" i="4" s="1"/>
  <c r="K137" i="3"/>
  <c r="K139" i="3" s="1"/>
  <c r="L136" i="3"/>
  <c r="K147" i="3"/>
  <c r="L146" i="3"/>
  <c r="P12" i="3"/>
  <c r="J11" i="3" s="1"/>
  <c r="O12" i="3"/>
  <c r="L119" i="3"/>
  <c r="K120" i="3"/>
  <c r="L149" i="3"/>
  <c r="K150" i="3"/>
  <c r="P9" i="3"/>
  <c r="J8" i="3" s="1"/>
  <c r="O9" i="3"/>
  <c r="J171" i="3"/>
  <c r="K170" i="3"/>
  <c r="J172" i="3"/>
  <c r="J174" i="3"/>
  <c r="K173" i="3"/>
  <c r="J175" i="3"/>
  <c r="J97" i="3"/>
  <c r="J96" i="3"/>
  <c r="K95" i="3"/>
  <c r="O135" i="3"/>
  <c r="P135" i="3"/>
  <c r="J123" i="3"/>
  <c r="J124" i="3"/>
  <c r="K122" i="3"/>
  <c r="K38" i="3"/>
  <c r="J40" i="3"/>
  <c r="J39" i="3"/>
  <c r="P15" i="3"/>
  <c r="J14" i="3" s="1"/>
  <c r="O15" i="3"/>
  <c r="J19" i="3"/>
  <c r="J61" i="3"/>
  <c r="P50" i="3"/>
  <c r="O50" i="3"/>
  <c r="K105" i="3"/>
  <c r="J106" i="3"/>
  <c r="J108" i="3" s="1"/>
  <c r="J73" i="3"/>
  <c r="P7" i="3"/>
  <c r="O7" i="3"/>
  <c r="K35" i="3"/>
  <c r="J37" i="3"/>
  <c r="J36" i="3"/>
  <c r="J70" i="3"/>
  <c r="J166" i="3"/>
  <c r="J165" i="3"/>
  <c r="K164" i="3"/>
  <c r="K92" i="3"/>
  <c r="J94" i="3"/>
  <c r="J93" i="3"/>
  <c r="K51" i="3"/>
  <c r="J52" i="3"/>
  <c r="J54" i="3" s="1"/>
  <c r="K179" i="3"/>
  <c r="J181" i="3"/>
  <c r="J180" i="3"/>
  <c r="J56" i="3"/>
  <c r="J58" i="3" s="1"/>
  <c r="K55" i="3"/>
  <c r="J29" i="3"/>
  <c r="J31" i="3" s="1"/>
  <c r="K28" i="3"/>
  <c r="J46" i="3"/>
  <c r="J133" i="3"/>
  <c r="J135" i="3" s="1"/>
  <c r="K132" i="3"/>
  <c r="K126" i="3" s="1"/>
  <c r="K127" i="3" s="1"/>
  <c r="J163" i="3"/>
  <c r="K161" i="3"/>
  <c r="J162" i="3"/>
  <c r="O16" i="3"/>
  <c r="P16" i="3"/>
  <c r="K69" i="3"/>
  <c r="L68" i="3"/>
  <c r="J169" i="3"/>
  <c r="K168" i="3"/>
  <c r="J43" i="3"/>
  <c r="J42" i="3"/>
  <c r="K41" i="3"/>
  <c r="O10" i="3"/>
  <c r="O23" i="3"/>
  <c r="P23" i="3"/>
  <c r="P6" i="3"/>
  <c r="J5" i="3" s="1"/>
  <c r="O6" i="3"/>
  <c r="J145" i="3"/>
  <c r="J144" i="3"/>
  <c r="K143" i="3"/>
  <c r="J87" i="3"/>
  <c r="J88" i="3"/>
  <c r="K86" i="3"/>
  <c r="J114" i="3"/>
  <c r="K113" i="3"/>
  <c r="J115" i="3"/>
  <c r="J90" i="3"/>
  <c r="K89" i="3"/>
  <c r="J91" i="3"/>
  <c r="J142" i="3"/>
  <c r="J141" i="3"/>
  <c r="K140" i="3"/>
  <c r="K62" i="3"/>
  <c r="J63" i="3"/>
  <c r="J64" i="3"/>
  <c r="L155" i="3"/>
  <c r="K156" i="3"/>
  <c r="L24" i="3"/>
  <c r="K25" i="3"/>
  <c r="K27" i="3" s="1"/>
  <c r="J21" i="3"/>
  <c r="J23" i="3" s="1"/>
  <c r="K20" i="3"/>
  <c r="J66" i="3"/>
  <c r="J67" i="3"/>
  <c r="K65" i="3"/>
  <c r="O85" i="3"/>
  <c r="P85" i="3"/>
  <c r="K116" i="3"/>
  <c r="J118" i="3"/>
  <c r="J117" i="3"/>
  <c r="O13" i="3"/>
  <c r="P13" i="3"/>
  <c r="K128" i="3"/>
  <c r="J129" i="3"/>
  <c r="J131" i="3" s="1"/>
  <c r="J85" i="3"/>
  <c r="J79" i="3"/>
  <c r="J81" i="3" s="1"/>
  <c r="J77" i="3"/>
  <c r="H102" i="1"/>
  <c r="I100" i="1"/>
  <c r="I101" i="1"/>
  <c r="I102" i="1" s="1"/>
  <c r="K75" i="3" l="1"/>
  <c r="K77" i="3" s="1"/>
  <c r="K3" i="3"/>
  <c r="K3" i="4" s="1"/>
  <c r="K148" i="3"/>
  <c r="J64" i="4"/>
  <c r="J43" i="4"/>
  <c r="J50" i="4"/>
  <c r="J5" i="4"/>
  <c r="J7" i="4"/>
  <c r="J40" i="4"/>
  <c r="J41" i="4"/>
  <c r="J6" i="4"/>
  <c r="K6" i="4" s="1"/>
  <c r="L6" i="4" s="1"/>
  <c r="M6" i="4" s="1"/>
  <c r="N6" i="4" s="1"/>
  <c r="J59" i="4"/>
  <c r="J35" i="4"/>
  <c r="J12" i="4"/>
  <c r="J13" i="4" s="1"/>
  <c r="J32" i="4"/>
  <c r="J73" i="4"/>
  <c r="J69" i="4"/>
  <c r="J26" i="4"/>
  <c r="J27" i="4" s="1"/>
  <c r="J60" i="4"/>
  <c r="J71" i="4"/>
  <c r="J33" i="4"/>
  <c r="J42" i="4"/>
  <c r="J65" i="4"/>
  <c r="J4" i="4"/>
  <c r="J30" i="4"/>
  <c r="J54" i="4"/>
  <c r="J10" i="4"/>
  <c r="J11" i="4" s="1"/>
  <c r="J58" i="4"/>
  <c r="J16" i="4"/>
  <c r="J28" i="4"/>
  <c r="J34" i="4"/>
  <c r="J14" i="4"/>
  <c r="J56" i="4"/>
  <c r="J36" i="4"/>
  <c r="J55" i="4"/>
  <c r="J29" i="4"/>
  <c r="J44" i="4"/>
  <c r="J70" i="4"/>
  <c r="J47" i="4"/>
  <c r="J57" i="4"/>
  <c r="J61" i="4"/>
  <c r="J62" i="4"/>
  <c r="K100" i="3"/>
  <c r="K177" i="3"/>
  <c r="K154" i="3"/>
  <c r="L158" i="3"/>
  <c r="M158" i="3" s="1"/>
  <c r="K70" i="3"/>
  <c r="K160" i="3"/>
  <c r="K61" i="3"/>
  <c r="K60" i="3"/>
  <c r="L109" i="3"/>
  <c r="M109" i="3" s="1"/>
  <c r="L59" i="3"/>
  <c r="M59" i="3" s="1"/>
  <c r="K178" i="3"/>
  <c r="K121" i="3"/>
  <c r="K106" i="3"/>
  <c r="K108" i="3" s="1"/>
  <c r="L105" i="3"/>
  <c r="K39" i="3"/>
  <c r="L38" i="3"/>
  <c r="K40" i="3"/>
  <c r="L33" i="3"/>
  <c r="M32" i="3"/>
  <c r="K67" i="3"/>
  <c r="L65" i="3"/>
  <c r="K66" i="3"/>
  <c r="K64" i="3"/>
  <c r="K63" i="3"/>
  <c r="L62" i="3"/>
  <c r="K169" i="3"/>
  <c r="L168" i="3"/>
  <c r="L100" i="3"/>
  <c r="L51" i="3"/>
  <c r="K52" i="3"/>
  <c r="K54" i="3" s="1"/>
  <c r="K142" i="3"/>
  <c r="K141" i="3"/>
  <c r="L140" i="3"/>
  <c r="K145" i="3"/>
  <c r="K144" i="3"/>
  <c r="L143" i="3"/>
  <c r="L127" i="3"/>
  <c r="L122" i="3"/>
  <c r="K123" i="3"/>
  <c r="K124" i="3"/>
  <c r="K171" i="3"/>
  <c r="K172" i="3"/>
  <c r="L170" i="3"/>
  <c r="M119" i="3"/>
  <c r="L120" i="3"/>
  <c r="K34" i="3"/>
  <c r="K174" i="3"/>
  <c r="L173" i="3"/>
  <c r="K175" i="3"/>
  <c r="K11" i="3"/>
  <c r="J12" i="3"/>
  <c r="J13" i="3"/>
  <c r="L101" i="3"/>
  <c r="K102" i="3"/>
  <c r="K104" i="3" s="1"/>
  <c r="K21" i="3"/>
  <c r="K23" i="3" s="1"/>
  <c r="L20" i="3"/>
  <c r="K117" i="3"/>
  <c r="K118" i="3"/>
  <c r="L116" i="3"/>
  <c r="K29" i="3"/>
  <c r="K31" i="3" s="1"/>
  <c r="L28" i="3"/>
  <c r="J10" i="3"/>
  <c r="J9" i="3"/>
  <c r="K8" i="3"/>
  <c r="K133" i="3"/>
  <c r="K135" i="3" s="1"/>
  <c r="L132" i="3"/>
  <c r="L126" i="3" s="1"/>
  <c r="L69" i="3"/>
  <c r="M68" i="3"/>
  <c r="L147" i="3"/>
  <c r="M146" i="3"/>
  <c r="L25" i="3"/>
  <c r="L27" i="3" s="1"/>
  <c r="M24" i="3"/>
  <c r="L150" i="3"/>
  <c r="M149" i="3"/>
  <c r="L159" i="3"/>
  <c r="M136" i="3"/>
  <c r="L137" i="3"/>
  <c r="L139" i="3" s="1"/>
  <c r="L179" i="3"/>
  <c r="K181" i="3"/>
  <c r="K180" i="3"/>
  <c r="K46" i="3"/>
  <c r="J6" i="3"/>
  <c r="J7" i="3"/>
  <c r="K5" i="3"/>
  <c r="K94" i="3"/>
  <c r="K93" i="3"/>
  <c r="L92" i="3"/>
  <c r="K88" i="3"/>
  <c r="L86" i="3"/>
  <c r="K87" i="3"/>
  <c r="L128" i="3"/>
  <c r="K129" i="3"/>
  <c r="K131" i="3" s="1"/>
  <c r="K90" i="3"/>
  <c r="L89" i="3"/>
  <c r="K91" i="3"/>
  <c r="K37" i="3"/>
  <c r="L35" i="3"/>
  <c r="K36" i="3"/>
  <c r="L55" i="3"/>
  <c r="K56" i="3"/>
  <c r="K58" i="3" s="1"/>
  <c r="M153" i="3"/>
  <c r="L154" i="3"/>
  <c r="K19" i="3"/>
  <c r="L95" i="3"/>
  <c r="K97" i="3"/>
  <c r="K96" i="3"/>
  <c r="K79" i="3"/>
  <c r="K81" i="3" s="1"/>
  <c r="K157" i="3"/>
  <c r="K151" i="3"/>
  <c r="L47" i="3"/>
  <c r="K48" i="3"/>
  <c r="K50" i="3" s="1"/>
  <c r="K114" i="3"/>
  <c r="L113" i="3"/>
  <c r="K115" i="3"/>
  <c r="K163" i="3"/>
  <c r="K162" i="3"/>
  <c r="L161" i="3"/>
  <c r="K166" i="3"/>
  <c r="K165" i="3"/>
  <c r="L164" i="3"/>
  <c r="J16" i="3"/>
  <c r="K14" i="3"/>
  <c r="J15" i="3"/>
  <c r="L177" i="3"/>
  <c r="M176" i="3"/>
  <c r="K83" i="3"/>
  <c r="K85" i="3" s="1"/>
  <c r="L156" i="3"/>
  <c r="M155" i="3"/>
  <c r="K43" i="3"/>
  <c r="K42" i="3"/>
  <c r="L41" i="3"/>
  <c r="J4" i="3"/>
  <c r="K73" i="3" l="1"/>
  <c r="L3" i="3"/>
  <c r="L3" i="4" s="1"/>
  <c r="L157" i="3"/>
  <c r="K29" i="4"/>
  <c r="L75" i="3"/>
  <c r="L77" i="3" s="1"/>
  <c r="J66" i="4"/>
  <c r="J9" i="4"/>
  <c r="J8" i="4"/>
  <c r="J63" i="4"/>
  <c r="K28" i="4"/>
  <c r="J15" i="4"/>
  <c r="K40" i="4"/>
  <c r="K41" i="4"/>
  <c r="K42" i="4"/>
  <c r="K33" i="4"/>
  <c r="K54" i="4"/>
  <c r="K56" i="4"/>
  <c r="K34" i="4"/>
  <c r="K43" i="4"/>
  <c r="K50" i="4"/>
  <c r="K36" i="4"/>
  <c r="K12" i="4"/>
  <c r="K13" i="4" s="1"/>
  <c r="K26" i="4"/>
  <c r="K27" i="4" s="1"/>
  <c r="K7" i="4"/>
  <c r="K47" i="4"/>
  <c r="K71" i="4"/>
  <c r="K44" i="4"/>
  <c r="K55" i="4"/>
  <c r="K73" i="4"/>
  <c r="K69" i="4"/>
  <c r="K59" i="4"/>
  <c r="K65" i="4"/>
  <c r="K64" i="4"/>
  <c r="K66" i="4" s="1"/>
  <c r="K60" i="4"/>
  <c r="K14" i="4"/>
  <c r="K57" i="4"/>
  <c r="K4" i="4"/>
  <c r="K32" i="4"/>
  <c r="K35" i="4"/>
  <c r="K10" i="4"/>
  <c r="K11" i="4" s="1"/>
  <c r="K45" i="4"/>
  <c r="K16" i="4"/>
  <c r="K58" i="4"/>
  <c r="K5" i="4"/>
  <c r="K30" i="4"/>
  <c r="K61" i="4"/>
  <c r="K62" i="4"/>
  <c r="J72" i="4"/>
  <c r="L34" i="3"/>
  <c r="L110" i="3"/>
  <c r="L112" i="3" s="1"/>
  <c r="L60" i="3"/>
  <c r="L61" i="3"/>
  <c r="L148" i="3"/>
  <c r="L97" i="3"/>
  <c r="M95" i="3"/>
  <c r="L96" i="3"/>
  <c r="M110" i="3"/>
  <c r="M112" i="3" s="1"/>
  <c r="N109" i="3"/>
  <c r="N110" i="3" s="1"/>
  <c r="N112" i="3" s="1"/>
  <c r="M101" i="3"/>
  <c r="L102" i="3"/>
  <c r="L104" i="3" s="1"/>
  <c r="K16" i="3"/>
  <c r="L14" i="3"/>
  <c r="K15" i="3"/>
  <c r="L19" i="3"/>
  <c r="L151" i="3"/>
  <c r="M65" i="3"/>
  <c r="L67" i="3"/>
  <c r="L66" i="3"/>
  <c r="M86" i="3"/>
  <c r="L88" i="3"/>
  <c r="L87" i="3"/>
  <c r="M47" i="3"/>
  <c r="L48" i="3"/>
  <c r="L50" i="3" s="1"/>
  <c r="K4" i="3"/>
  <c r="L115" i="3"/>
  <c r="L114" i="3"/>
  <c r="M113" i="3"/>
  <c r="M150" i="3"/>
  <c r="N149" i="3"/>
  <c r="L42" i="3"/>
  <c r="M41" i="3"/>
  <c r="L43" i="3"/>
  <c r="K9" i="3"/>
  <c r="K10" i="3"/>
  <c r="L8" i="3"/>
  <c r="L141" i="3"/>
  <c r="M140" i="3"/>
  <c r="L142" i="3"/>
  <c r="M128" i="3"/>
  <c r="L129" i="3"/>
  <c r="L131" i="3" s="1"/>
  <c r="L46" i="3"/>
  <c r="M75" i="3"/>
  <c r="M77" i="3" s="1"/>
  <c r="M25" i="3"/>
  <c r="M27" i="3" s="1"/>
  <c r="N24" i="3"/>
  <c r="N25" i="3" s="1"/>
  <c r="N27" i="3" s="1"/>
  <c r="K12" i="3"/>
  <c r="K13" i="3"/>
  <c r="L11" i="3"/>
  <c r="L124" i="3"/>
  <c r="L123" i="3"/>
  <c r="M122" i="3"/>
  <c r="L175" i="3"/>
  <c r="L174" i="3"/>
  <c r="M173" i="3"/>
  <c r="L52" i="3"/>
  <c r="L54" i="3" s="1"/>
  <c r="M51" i="3"/>
  <c r="L56" i="3"/>
  <c r="L58" i="3" s="1"/>
  <c r="M55" i="3"/>
  <c r="L181" i="3"/>
  <c r="L180" i="3"/>
  <c r="M179" i="3"/>
  <c r="L118" i="3"/>
  <c r="L117" i="3"/>
  <c r="M116" i="3"/>
  <c r="M60" i="3"/>
  <c r="N59" i="3"/>
  <c r="L83" i="3"/>
  <c r="L85" i="3" s="1"/>
  <c r="M161" i="3"/>
  <c r="L163" i="3"/>
  <c r="L162" i="3"/>
  <c r="N136" i="3"/>
  <c r="N137" i="3" s="1"/>
  <c r="N139" i="3" s="1"/>
  <c r="M137" i="3"/>
  <c r="M139" i="3" s="1"/>
  <c r="M177" i="3"/>
  <c r="N176" i="3"/>
  <c r="K6" i="3"/>
  <c r="L5" i="3"/>
  <c r="K7" i="3"/>
  <c r="L160" i="3"/>
  <c r="M69" i="3"/>
  <c r="N68" i="3"/>
  <c r="L21" i="3"/>
  <c r="L23" i="3" s="1"/>
  <c r="M20" i="3"/>
  <c r="L121" i="3"/>
  <c r="M156" i="3"/>
  <c r="N155" i="3"/>
  <c r="N153" i="3"/>
  <c r="N154" i="3" s="1"/>
  <c r="M154" i="3"/>
  <c r="M28" i="3"/>
  <c r="L29" i="3"/>
  <c r="L31" i="3" s="1"/>
  <c r="M164" i="3"/>
  <c r="L165" i="3"/>
  <c r="L166" i="3"/>
  <c r="M147" i="3"/>
  <c r="N146" i="3"/>
  <c r="M33" i="3"/>
  <c r="N32" i="3"/>
  <c r="L94" i="3"/>
  <c r="L93" i="3"/>
  <c r="M92" i="3"/>
  <c r="M100" i="3"/>
  <c r="N100" i="3"/>
  <c r="L79" i="3"/>
  <c r="L81" i="3" s="1"/>
  <c r="L36" i="3"/>
  <c r="M35" i="3"/>
  <c r="L37" i="3"/>
  <c r="L70" i="3"/>
  <c r="M127" i="3"/>
  <c r="L169" i="3"/>
  <c r="M168" i="3"/>
  <c r="M38" i="3"/>
  <c r="L39" i="3"/>
  <c r="L40" i="3"/>
  <c r="N158" i="3"/>
  <c r="M159" i="3"/>
  <c r="M120" i="3"/>
  <c r="N119" i="3"/>
  <c r="L145" i="3"/>
  <c r="L144" i="3"/>
  <c r="M143" i="3"/>
  <c r="L64" i="3"/>
  <c r="L63" i="3"/>
  <c r="M62" i="3"/>
  <c r="M105" i="3"/>
  <c r="L106" i="3"/>
  <c r="L108" i="3" s="1"/>
  <c r="L178" i="3"/>
  <c r="L90" i="3"/>
  <c r="L91" i="3"/>
  <c r="M89" i="3"/>
  <c r="L133" i="3"/>
  <c r="L135" i="3" s="1"/>
  <c r="M132" i="3"/>
  <c r="M126" i="3" s="1"/>
  <c r="L172" i="3"/>
  <c r="M170" i="3"/>
  <c r="L171" i="3"/>
  <c r="L73" i="3" l="1"/>
  <c r="N75" i="3"/>
  <c r="N77" i="3" s="1"/>
  <c r="M34" i="3"/>
  <c r="M3" i="3"/>
  <c r="M3" i="4" s="1"/>
  <c r="K9" i="4"/>
  <c r="K8" i="4"/>
  <c r="K63" i="4"/>
  <c r="K15" i="4"/>
  <c r="J74" i="4"/>
  <c r="J76" i="4" s="1"/>
  <c r="L61" i="4"/>
  <c r="L30" i="4"/>
  <c r="L29" i="4"/>
  <c r="L60" i="4"/>
  <c r="L14" i="4"/>
  <c r="L65" i="4"/>
  <c r="L33" i="4"/>
  <c r="L45" i="4"/>
  <c r="L59" i="4"/>
  <c r="L4" i="4"/>
  <c r="L32" i="4"/>
  <c r="L56" i="4"/>
  <c r="L10" i="4"/>
  <c r="L11" i="4" s="1"/>
  <c r="L64" i="4"/>
  <c r="L35" i="4"/>
  <c r="L57" i="4"/>
  <c r="L16" i="4"/>
  <c r="L73" i="4"/>
  <c r="L54" i="4"/>
  <c r="L5" i="4"/>
  <c r="L44" i="4"/>
  <c r="L41" i="4"/>
  <c r="L50" i="4"/>
  <c r="L55" i="4"/>
  <c r="L43" i="4"/>
  <c r="L71" i="4"/>
  <c r="L36" i="4"/>
  <c r="L34" i="4"/>
  <c r="L7" i="4"/>
  <c r="L26" i="4"/>
  <c r="L27" i="4" s="1"/>
  <c r="L40" i="4"/>
  <c r="L69" i="4"/>
  <c r="L47" i="4"/>
  <c r="L28" i="4"/>
  <c r="L12" i="4"/>
  <c r="L13" i="4" s="1"/>
  <c r="L58" i="4"/>
  <c r="L42" i="4"/>
  <c r="L62" i="4"/>
  <c r="L63" i="4" s="1"/>
  <c r="K72" i="4"/>
  <c r="M19" i="3"/>
  <c r="M83" i="3"/>
  <c r="M85" i="3" s="1"/>
  <c r="N83" i="3"/>
  <c r="N85" i="3" s="1"/>
  <c r="N51" i="3"/>
  <c r="N52" i="3" s="1"/>
  <c r="N54" i="3" s="1"/>
  <c r="M52" i="3"/>
  <c r="M54" i="3" s="1"/>
  <c r="M8" i="3"/>
  <c r="L9" i="3"/>
  <c r="L10" i="3"/>
  <c r="M91" i="3"/>
  <c r="M90" i="3"/>
  <c r="N89" i="3"/>
  <c r="M121" i="3"/>
  <c r="N33" i="3"/>
  <c r="L6" i="3"/>
  <c r="M5" i="3"/>
  <c r="L7" i="3"/>
  <c r="N60" i="3"/>
  <c r="L4" i="3"/>
  <c r="M157" i="3"/>
  <c r="N116" i="3"/>
  <c r="M117" i="3"/>
  <c r="M118" i="3"/>
  <c r="M43" i="3"/>
  <c r="N41" i="3"/>
  <c r="M42" i="3"/>
  <c r="N101" i="3"/>
  <c r="N102" i="3" s="1"/>
  <c r="N104" i="3" s="1"/>
  <c r="M102" i="3"/>
  <c r="M104" i="3" s="1"/>
  <c r="N159" i="3"/>
  <c r="M46" i="3"/>
  <c r="N46" i="3"/>
  <c r="M29" i="3"/>
  <c r="M31" i="3" s="1"/>
  <c r="N28" i="3"/>
  <c r="N29" i="3" s="1"/>
  <c r="N31" i="3" s="1"/>
  <c r="N156" i="3"/>
  <c r="M175" i="3"/>
  <c r="M174" i="3"/>
  <c r="N173" i="3"/>
  <c r="L16" i="3"/>
  <c r="M14" i="3"/>
  <c r="L15" i="3"/>
  <c r="M61" i="3"/>
  <c r="M160" i="3"/>
  <c r="M36" i="3"/>
  <c r="N35" i="3"/>
  <c r="M37" i="3"/>
  <c r="N177" i="3"/>
  <c r="N122" i="3"/>
  <c r="M123" i="3"/>
  <c r="M124" i="3"/>
  <c r="M148" i="3"/>
  <c r="N150" i="3"/>
  <c r="M87" i="3"/>
  <c r="M88" i="3"/>
  <c r="N86" i="3"/>
  <c r="M133" i="3"/>
  <c r="M135" i="3" s="1"/>
  <c r="N132" i="3"/>
  <c r="N147" i="3"/>
  <c r="M106" i="3"/>
  <c r="M108" i="3" s="1"/>
  <c r="N105" i="3"/>
  <c r="N106" i="3" s="1"/>
  <c r="N108" i="3" s="1"/>
  <c r="M79" i="3"/>
  <c r="M81" i="3" s="1"/>
  <c r="N79" i="3"/>
  <c r="N81" i="3" s="1"/>
  <c r="N20" i="3"/>
  <c r="N21" i="3" s="1"/>
  <c r="N23" i="3" s="1"/>
  <c r="M21" i="3"/>
  <c r="M23" i="3" s="1"/>
  <c r="M64" i="3"/>
  <c r="N62" i="3"/>
  <c r="M63" i="3"/>
  <c r="M181" i="3"/>
  <c r="M180" i="3"/>
  <c r="N179" i="3"/>
  <c r="N120" i="3"/>
  <c r="M178" i="3"/>
  <c r="M48" i="3"/>
  <c r="M50" i="3" s="1"/>
  <c r="N47" i="3"/>
  <c r="N48" i="3" s="1"/>
  <c r="N50" i="3" s="1"/>
  <c r="M70" i="3"/>
  <c r="M73" i="3"/>
  <c r="M129" i="3"/>
  <c r="M131" i="3" s="1"/>
  <c r="N128" i="3"/>
  <c r="N129" i="3" s="1"/>
  <c r="N131" i="3" s="1"/>
  <c r="M151" i="3"/>
  <c r="M172" i="3"/>
  <c r="M171" i="3"/>
  <c r="N170" i="3"/>
  <c r="N38" i="3"/>
  <c r="M40" i="3"/>
  <c r="M39" i="3"/>
  <c r="M166" i="3"/>
  <c r="N164" i="3"/>
  <c r="M165" i="3"/>
  <c r="N69" i="3"/>
  <c r="M114" i="3"/>
  <c r="N113" i="3"/>
  <c r="M115" i="3"/>
  <c r="N65" i="3"/>
  <c r="M67" i="3"/>
  <c r="M66" i="3"/>
  <c r="N95" i="3"/>
  <c r="M96" i="3"/>
  <c r="M97" i="3"/>
  <c r="M145" i="3"/>
  <c r="N143" i="3"/>
  <c r="M144" i="3"/>
  <c r="N168" i="3"/>
  <c r="N169" i="3" s="1"/>
  <c r="M169" i="3"/>
  <c r="M94" i="3"/>
  <c r="N92" i="3"/>
  <c r="M93" i="3"/>
  <c r="M162" i="3"/>
  <c r="N161" i="3"/>
  <c r="M163" i="3"/>
  <c r="M56" i="3"/>
  <c r="M58" i="3" s="1"/>
  <c r="N55" i="3"/>
  <c r="N56" i="3" s="1"/>
  <c r="N58" i="3" s="1"/>
  <c r="L12" i="3"/>
  <c r="L13" i="3"/>
  <c r="M11" i="3"/>
  <c r="M141" i="3"/>
  <c r="N140" i="3"/>
  <c r="M142" i="3"/>
  <c r="N73" i="3" l="1"/>
  <c r="L15" i="4"/>
  <c r="N133" i="3"/>
  <c r="N135" i="3" s="1"/>
  <c r="N126" i="3"/>
  <c r="N127" i="3" s="1"/>
  <c r="N19" i="3"/>
  <c r="L9" i="4"/>
  <c r="L8" i="4"/>
  <c r="L66" i="4"/>
  <c r="M61" i="4"/>
  <c r="M30" i="4"/>
  <c r="M28" i="4"/>
  <c r="M35" i="4"/>
  <c r="M29" i="4"/>
  <c r="M40" i="4"/>
  <c r="M57" i="4"/>
  <c r="M32" i="4"/>
  <c r="M45" i="4"/>
  <c r="M64" i="4"/>
  <c r="M62" i="4"/>
  <c r="M73" i="4"/>
  <c r="M55" i="4"/>
  <c r="M44" i="4"/>
  <c r="M36" i="4"/>
  <c r="M60" i="4"/>
  <c r="M58" i="4"/>
  <c r="M50" i="4"/>
  <c r="M56" i="4"/>
  <c r="M71" i="4"/>
  <c r="M26" i="4"/>
  <c r="M27" i="4" s="1"/>
  <c r="M41" i="4"/>
  <c r="M4" i="4"/>
  <c r="M65" i="4"/>
  <c r="M10" i="4"/>
  <c r="M11" i="4" s="1"/>
  <c r="M33" i="4"/>
  <c r="M16" i="4"/>
  <c r="M59" i="4"/>
  <c r="M5" i="4"/>
  <c r="M43" i="4"/>
  <c r="M12" i="4"/>
  <c r="M13" i="4" s="1"/>
  <c r="M54" i="4"/>
  <c r="M14" i="4"/>
  <c r="M42" i="4"/>
  <c r="M69" i="4"/>
  <c r="M7" i="4"/>
  <c r="M34" i="4"/>
  <c r="M47" i="4"/>
  <c r="K74" i="4"/>
  <c r="L72" i="4"/>
  <c r="K75" i="4"/>
  <c r="J25" i="4"/>
  <c r="N34" i="3"/>
  <c r="N121" i="3"/>
  <c r="N61" i="3"/>
  <c r="N70" i="3"/>
  <c r="N160" i="3"/>
  <c r="N118" i="3"/>
  <c r="N117" i="3"/>
  <c r="N90" i="3"/>
  <c r="N91" i="3"/>
  <c r="N162" i="3"/>
  <c r="N163" i="3"/>
  <c r="N97" i="3"/>
  <c r="N96" i="3"/>
  <c r="N151" i="3"/>
  <c r="M4" i="3"/>
  <c r="N165" i="3"/>
  <c r="N166" i="3"/>
  <c r="N93" i="3"/>
  <c r="N94" i="3"/>
  <c r="N172" i="3"/>
  <c r="N171" i="3"/>
  <c r="N175" i="3"/>
  <c r="N174" i="3"/>
  <c r="N39" i="3"/>
  <c r="N40" i="3"/>
  <c r="M10" i="3"/>
  <c r="N8" i="3"/>
  <c r="M9" i="3"/>
  <c r="N142" i="3"/>
  <c r="N141" i="3"/>
  <c r="N115" i="3"/>
  <c r="N114" i="3"/>
  <c r="N181" i="3"/>
  <c r="N180" i="3"/>
  <c r="N124" i="3"/>
  <c r="N123" i="3"/>
  <c r="M6" i="3"/>
  <c r="M7" i="3"/>
  <c r="N5" i="3"/>
  <c r="M13" i="3"/>
  <c r="N11" i="3"/>
  <c r="M12" i="3"/>
  <c r="N148" i="3"/>
  <c r="N42" i="3"/>
  <c r="N43" i="3"/>
  <c r="N178" i="3"/>
  <c r="N157" i="3"/>
  <c r="M15" i="3"/>
  <c r="N14" i="3"/>
  <c r="M16" i="3"/>
  <c r="N67" i="3"/>
  <c r="N66" i="3"/>
  <c r="N145" i="3"/>
  <c r="N144" i="3"/>
  <c r="N63" i="3"/>
  <c r="N64" i="3"/>
  <c r="N88" i="3"/>
  <c r="N87" i="3"/>
  <c r="N36" i="3"/>
  <c r="N37" i="3"/>
  <c r="N3" i="3" l="1"/>
  <c r="N4" i="3" s="1"/>
  <c r="K76" i="4"/>
  <c r="L75" i="4" s="1"/>
  <c r="L74" i="4"/>
  <c r="J37" i="4"/>
  <c r="J77" i="4"/>
  <c r="M9" i="4"/>
  <c r="M8" i="4"/>
  <c r="M72" i="4"/>
  <c r="M63" i="4"/>
  <c r="M66" i="4"/>
  <c r="M15" i="4"/>
  <c r="N6" i="3"/>
  <c r="N9" i="3"/>
  <c r="N15" i="3"/>
  <c r="N12" i="3"/>
  <c r="N3" i="4" l="1"/>
  <c r="N10" i="3"/>
  <c r="N13" i="3"/>
  <c r="N7" i="3"/>
  <c r="N16" i="3"/>
  <c r="K25" i="4"/>
  <c r="K37" i="4" s="1"/>
  <c r="M74" i="4"/>
  <c r="L76" i="4"/>
  <c r="N62" i="4"/>
  <c r="N58" i="4"/>
  <c r="N36" i="4"/>
  <c r="N42" i="4"/>
  <c r="N41" i="4"/>
  <c r="N7" i="4"/>
  <c r="N28" i="4"/>
  <c r="N35" i="4"/>
  <c r="N5" i="4"/>
  <c r="N29" i="4"/>
  <c r="N4" i="4"/>
  <c r="N65" i="4"/>
  <c r="N10" i="4"/>
  <c r="N11" i="4" s="1"/>
  <c r="N26" i="4"/>
  <c r="N27" i="4" s="1"/>
  <c r="N55" i="4"/>
  <c r="N64" i="4"/>
  <c r="N56" i="4"/>
  <c r="N54" i="4"/>
  <c r="N57" i="4"/>
  <c r="N50" i="4"/>
  <c r="N61" i="4"/>
  <c r="N71" i="4"/>
  <c r="N59" i="4"/>
  <c r="N45" i="4"/>
  <c r="N12" i="4"/>
  <c r="N13" i="4" s="1"/>
  <c r="N14" i="4"/>
  <c r="N44" i="4"/>
  <c r="N16" i="4"/>
  <c r="N34" i="4"/>
  <c r="N69" i="4"/>
  <c r="N40" i="4"/>
  <c r="N73" i="4"/>
  <c r="N47" i="4"/>
  <c r="N60" i="4"/>
  <c r="N32" i="4"/>
  <c r="N33" i="4"/>
  <c r="N43" i="4"/>
  <c r="N30" i="4"/>
  <c r="L25" i="4"/>
  <c r="M75" i="4"/>
  <c r="S52" i="3"/>
  <c r="N63" i="4" l="1"/>
  <c r="K77" i="4"/>
  <c r="M76" i="4"/>
  <c r="N75" i="4" s="1"/>
  <c r="N15" i="4"/>
  <c r="N72" i="4"/>
  <c r="N8" i="4"/>
  <c r="N9" i="4"/>
  <c r="L37" i="4"/>
  <c r="L77" i="4"/>
  <c r="N66" i="4"/>
  <c r="U52" i="3"/>
  <c r="T52" i="3"/>
  <c r="N74" i="4" l="1"/>
  <c r="N76" i="4" s="1"/>
  <c r="N25" i="4" s="1"/>
  <c r="M25" i="4"/>
  <c r="M37" i="4" s="1"/>
  <c r="M77" i="4" l="1"/>
  <c r="N37" i="4"/>
  <c r="N77" i="4"/>
  <c r="J49" i="4"/>
  <c r="J51" i="4" s="1"/>
  <c r="J52" i="4" s="1"/>
  <c r="K48" i="4"/>
  <c r="K49" i="4" l="1"/>
  <c r="K51" i="4" s="1"/>
  <c r="K52" i="4" s="1"/>
  <c r="R52" i="4" s="1"/>
  <c r="L48" i="4"/>
  <c r="M48" i="4" l="1"/>
  <c r="L49" i="4"/>
  <c r="L51" i="4" s="1"/>
  <c r="L52" i="4" s="1"/>
  <c r="S52" i="4" s="1"/>
  <c r="N48" i="4" l="1"/>
  <c r="M49" i="4"/>
  <c r="M51" i="4" s="1"/>
  <c r="M52" i="4" s="1"/>
  <c r="T52" i="4" s="1"/>
  <c r="N49" i="4" l="1"/>
  <c r="N51" i="4"/>
  <c r="N52" i="4" s="1"/>
  <c r="U5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ECE5321A-54FC-44C3-A4E8-E63729E8C19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<sst xmlns="http://schemas.openxmlformats.org/spreadsheetml/2006/main" count="525" uniqueCount="254">
  <si>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</si>
  <si>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</si>
  <si>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</si>
  <si>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</si>
  <si>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</si>
  <si>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</si>
  <si>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</si>
  <si>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</si>
  <si>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</si>
  <si>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</si>
  <si>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</si>
  <si>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</si>
  <si>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</si>
  <si>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</si>
  <si>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</si>
  <si>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</si>
  <si>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</si>
  <si>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</si>
  <si>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</si>
  <si>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</si>
  <si>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</si>
  <si>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</si>
  <si>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</si>
  <si>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</si>
  <si>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</si>
  <si>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</si>
  <si>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</si>
  <si>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</si>
  <si>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</si>
  <si>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</si>
  <si>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</si>
  <si>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</si>
  <si>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</si>
  <si>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</si>
  <si>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</si>
  <si>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</si>
  <si>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</si>
  <si>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</si>
  <si>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</si>
  <si>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</si>
  <si>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</si>
  <si>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</si>
  <si>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</si>
  <si>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</si>
  <si>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</si>
  <si>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</si>
  <si>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</si>
  <si>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</si>
  <si>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</si>
  <si>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</si>
  <si>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</si>
  <si>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</si>
  <si>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</si>
  <si>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</si>
  <si>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</si>
  <si>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</si>
  <si>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</si>
  <si>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</si>
  <si>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</si>
  <si>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</si>
  <si>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</si>
  <si>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</si>
  <si>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</si>
  <si>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</si>
  <si>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</si>
  <si>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</si>
  <si>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</si>
  <si>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</si>
  <si>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</si>
  <si>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</si>
  <si>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</si>
  <si>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</si>
  <si>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</si>
  <si>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</si>
  <si>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</si>
  <si>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</si>
  <si>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</si>
  <si>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</si>
  <si>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</si>
  <si>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</si>
  <si>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</si>
  <si>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</si>
  <si>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</si>
  <si>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</si>
  <si>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</si>
  <si>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</si>
  <si>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</si>
  <si>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</si>
  <si>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</si>
  <si>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</si>
  <si>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</si>
  <si>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</si>
  <si>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</si>
  <si>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</si>
  <si>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</si>
  <si>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</si>
  <si>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</si>
  <si>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</si>
  <si>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</si>
  <si>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</si>
  <si>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</si>
  <si>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</si>
  <si>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</si>
  <si>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</si>
  <si>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</si>
  <si>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</si>
  <si>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</si>
  <si>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</si>
  <si>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</si>
  <si>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</si>
  <si>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</si>
  <si>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</si>
  <si>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</si>
  <si>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</si>
  <si>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</si>
  <si>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</si>
  <si>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</si>
  <si>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</si>
  <si>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</si>
  <si>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</si>
  <si>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</si>
  <si>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</si>
  <si>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</si>
  <si>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</si>
  <si>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</si>
  <si>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</si>
  <si>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</si>
  <si>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</si>
  <si>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</si>
  <si>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</si>
  <si>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</si>
  <si>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</si>
  <si>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</si>
  <si>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</si>
  <si>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</si>
  <si>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</si>
  <si>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</si>
  <si>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</si>
  <si>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</si>
  <si>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</si>
  <si>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</si>
  <si>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</si>
  <si>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</si>
  <si>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</si>
  <si>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</si>
  <si>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</si>
  <si>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</si>
  <si>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</si>
  <si>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</si>
  <si>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</si>
  <si>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</si>
  <si>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</si>
  <si>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</si>
  <si>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</si>
  <si>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</si>
  <si>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</si>
  <si>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</si>
  <si>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</si>
  <si>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</si>
  <si>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</si>
  <si>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</si>
  <si>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</si>
  <si>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</si>
  <si>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</si>
  <si>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</si>
  <si>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</si>
  <si>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</si>
  <si>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</si>
  <si>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</si>
  <si>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</si>
  <si>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</si>
  <si>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</si>
  <si>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</si>
  <si>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</si>
  <si>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</si>
  <si>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</si>
  <si>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</si>
  <si>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</si>
  <si>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</si>
  <si>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</si>
  <si>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</si>
  <si>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</si>
  <si>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</si>
  <si>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</si>
  <si>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</si>
  <si>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</si>
  <si>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</si>
  <si>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</si>
  <si>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Working Capital</t>
  </si>
  <si>
    <t>Investments in reverse repurchase agreements</t>
  </si>
  <si>
    <t>Disposals of property, plant and equipment</t>
  </si>
  <si>
    <t>Excess tax benefits form share-based payment arrangements</t>
  </si>
  <si>
    <t>Supplemental disclosure of cash flow information</t>
  </si>
  <si>
    <t>Organic revenue growth + currency exchange impact</t>
  </si>
  <si>
    <t>Average Growth</t>
  </si>
  <si>
    <t>Median Growth</t>
  </si>
  <si>
    <t>Average Growth (2016-2022)</t>
  </si>
  <si>
    <t>Conservative Average Growth (Excluding 2020-2021)</t>
  </si>
  <si>
    <t>Historical Average</t>
  </si>
  <si>
    <t>Europe, Middle East, &amp; Africa</t>
  </si>
  <si>
    <t>Flattened Average (0.25)</t>
  </si>
  <si>
    <t xml:space="preserve">     Growth %</t>
  </si>
  <si>
    <t>CAGR</t>
  </si>
  <si>
    <t>% of Revenue</t>
  </si>
  <si>
    <t>EBT</t>
  </si>
  <si>
    <t>Diluted EPS</t>
  </si>
  <si>
    <t>Current Assets</t>
  </si>
  <si>
    <t>Days Receivable</t>
  </si>
  <si>
    <t>Accounts Receivable</t>
  </si>
  <si>
    <t>Inventory Days</t>
  </si>
  <si>
    <t>Days Payable</t>
  </si>
  <si>
    <t>Long-term Assets</t>
  </si>
  <si>
    <t>(CAGR starts in 2020)</t>
  </si>
  <si>
    <t>(Values are from Nike's 2022 10-K debt table)</t>
  </si>
  <si>
    <t>Accounts Payable</t>
  </si>
  <si>
    <t>AOCI</t>
  </si>
  <si>
    <t>Cashflow</t>
  </si>
  <si>
    <t>Acquisitions/Disposals</t>
  </si>
  <si>
    <t xml:space="preserve">Share Issuance/Buybacks </t>
  </si>
  <si>
    <t>(Values are from Nike's 2022 10-K debt table and long-term borrowing schedule.)</t>
  </si>
  <si>
    <t>(Note: after further examination, extreme volatility greater</t>
  </si>
  <si>
    <t>than 100% or less than -100% was multiplied by 0.25 to</t>
  </si>
  <si>
    <t xml:space="preserve">measure change and forecast more accurately based on </t>
  </si>
  <si>
    <t>actual historical trends and align more closely with</t>
  </si>
  <si>
    <t>the conservative forecast model.)</t>
  </si>
  <si>
    <t xml:space="preserve">(% of Revenue [margin of revenue] was used for the following </t>
  </si>
  <si>
    <t>error values have been modified to accurately reflect growth.)</t>
  </si>
  <si>
    <t>to better reflect  account growth.)</t>
  </si>
  <si>
    <t>Additional Notes</t>
  </si>
  <si>
    <t>All buybacks are partially offset by projected stock issues and rounded.)</t>
  </si>
  <si>
    <t>(According to Nike's 2022 Shareholder's Meeting, concerns about Chinese slave labor</t>
  </si>
  <si>
    <t>(CEO John Donahoe in Nike's 2022 Shareholder Meeting expressed  full confidence</t>
  </si>
  <si>
    <t xml:space="preserve">in Nike's ability to continue to recover from 2020 and grow even further, mostly </t>
  </si>
  <si>
    <t>through Nike's dominance in online shoe sales and adult consumer's shift to</t>
  </si>
  <si>
    <t xml:space="preserve">more active lifestyles. A higher total growth rate than the conservative average is forecasted </t>
  </si>
  <si>
    <t>as a result of increased growth in online sales which affects each business segment.)</t>
  </si>
  <si>
    <t xml:space="preserve">(Nike authorized $18 billion dollars in share repurchase throughout 2022-2026 at management discretion. </t>
  </si>
  <si>
    <t>(AR, Inv, AP were all calculated using the days formula [on the right]</t>
  </si>
  <si>
    <t>(The RE calculation was derived from Nike's Consolidated Statements of Shareholder's Equity.</t>
  </si>
  <si>
    <t>The difference in assets and equity/liabilities was subtracted from Capital in Excess to balance accounts.)</t>
  </si>
  <si>
    <t>(Historical Average was used for any calculations below under orange unless otherwise stated.)</t>
  </si>
  <si>
    <t xml:space="preserve">calculations below under green unless otherwise stated. CAGR with </t>
  </si>
  <si>
    <t>(Closing Cash was used for the Cash account not historical growth.)</t>
  </si>
  <si>
    <t>(Currency exchange impact was not calculated as part of this forecast only organic growth.)</t>
  </si>
  <si>
    <t>Innovations to the line have been scarce and revenue is mostly driven</t>
  </si>
  <si>
    <t>wholesale revenue declines were being offset by increased direct-to-consumer sales.</t>
  </si>
  <si>
    <t>by former buyers of Converse brand shoes and not new consumers.)</t>
  </si>
  <si>
    <t>(Converse sales in 2022  were projected to platuea for the next few years as</t>
  </si>
  <si>
    <t>(According to Nike's 2022 Shareholder's Meeting, concerns about Chinese slave labor producing Nike products in the Uyghur region may affect</t>
  </si>
  <si>
    <t xml:space="preserve"> non-current liabilities as Nike restructures its supply chain. A 20% increase will be added to 2023 to reflect this potential cost based on industry average cost increases.)</t>
  </si>
  <si>
    <t xml:space="preserve"> Nike was restructuring its Greater China supply chain which was projected to affect </t>
  </si>
  <si>
    <t xml:space="preserve">total revenue in 2023. 2023's revenue segments will have a 20% decrease to account </t>
  </si>
  <si>
    <t xml:space="preserve"> producing Nike products in the Uyghur region may affect Greater China's total revenue.</t>
  </si>
  <si>
    <t>for this possibility based on industry average restructuring losses in sales.)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</si>
</sst>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0" fontId="6" fillId="4" borderId="0" xfId="4" applyFont="1"/>
    <xf numFmtId="0" fontId="0" fillId="0" borderId="0" xfId="0" applyAlignment="1">
      <alignment horizontal="left"/>
    </xf>
    <xf numFmtId="165" fontId="0" fillId="0" borderId="0" xfId="0" applyNumberFormat="1"/>
    <xf numFmtId="10" fontId="2" fillId="0" borderId="0" xfId="2" applyNumberFormat="1" applyFont="1" applyFill="1" applyBorder="1"/>
    <xf numFmtId="44" fontId="0" fillId="0" borderId="0" xfId="5" applyFont="1"/>
    <xf numFmtId="167" fontId="0" fillId="0" borderId="0" xfId="1" applyNumberFormat="1" applyFont="1"/>
    <xf numFmtId="0" fontId="15" fillId="0" borderId="0" xfId="0" applyFont="1" applyAlignment="1">
      <alignment horizontal="left" indent="2"/>
    </xf>
    <xf numFmtId="0" fontId="15" fillId="0" borderId="0" xfId="0" applyFont="1" applyAlignment="1">
      <alignment horizontal="left" indent="1"/>
    </xf>
    <xf numFmtId="0" fontId="0" fillId="0" borderId="0" xfId="0" applyAlignment="1">
      <alignment horizontal="left" wrapText="1" indent="2"/>
    </xf>
    <xf numFmtId="0" fontId="16" fillId="0" borderId="0" xfId="0" applyFont="1"/>
    <xf numFmtId="0" fontId="17" fillId="0" borderId="0" xfId="0" applyFont="1"/>
    <xf numFmtId="10" fontId="2" fillId="0" borderId="0" xfId="2" applyNumberFormat="1" applyFont="1"/>
    <xf numFmtId="165" fontId="0" fillId="0" borderId="2" xfId="1" applyNumberFormat="1" applyFont="1" applyBorder="1"/>
    <xf numFmtId="165" fontId="5" fillId="0" borderId="0" xfId="1" applyNumberFormat="1" applyFont="1"/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6" fontId="2" fillId="0" borderId="5" xfId="2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12" fillId="0" borderId="1" xfId="0" applyFont="1" applyBorder="1"/>
    <xf numFmtId="0" fontId="2" fillId="7" borderId="5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8" borderId="5" xfId="0" applyFont="1" applyFill="1" applyBorder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165" fontId="6" fillId="9" borderId="0" xfId="4" applyNumberFormat="1" applyFont="1" applyFill="1" applyBorder="1" applyAlignment="1">
      <alignment horizontal="left"/>
    </xf>
    <xf numFmtId="0" fontId="2" fillId="10" borderId="5" xfId="0" applyFont="1" applyFill="1" applyBorder="1"/>
    <xf numFmtId="0" fontId="2" fillId="10" borderId="0" xfId="0" applyFont="1" applyFill="1"/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165" fontId="2" fillId="0" borderId="5" xfId="0" applyNumberFormat="1" applyFont="1" applyBorder="1"/>
    <xf numFmtId="165" fontId="2" fillId="0" borderId="6" xfId="0" applyNumberFormat="1" applyFont="1" applyBorder="1"/>
    <xf numFmtId="0" fontId="1" fillId="0" borderId="0" xfId="0" applyFont="1"/>
    <xf numFmtId="166" fontId="15" fillId="0" borderId="0" xfId="2" applyNumberFormat="1" applyFont="1" applyAlignment="1">
      <alignment horizontal="right"/>
    </xf>
    <xf numFmtId="166" fontId="15" fillId="0" borderId="5" xfId="2" applyNumberFormat="1" applyFont="1" applyBorder="1" applyAlignment="1">
      <alignment horizontal="right"/>
    </xf>
    <xf numFmtId="166" fontId="15" fillId="0" borderId="0" xfId="2" applyNumberFormat="1" applyFont="1" applyBorder="1" applyAlignment="1">
      <alignment horizontal="right"/>
    </xf>
    <xf numFmtId="166" fontId="15" fillId="0" borderId="6" xfId="2" applyNumberFormat="1" applyFont="1" applyBorder="1" applyAlignment="1">
      <alignment horizontal="right"/>
    </xf>
    <xf numFmtId="166" fontId="15" fillId="0" borderId="0" xfId="2" applyNumberFormat="1" applyFont="1"/>
    <xf numFmtId="166" fontId="15" fillId="0" borderId="5" xfId="2" applyNumberFormat="1" applyFont="1" applyBorder="1"/>
    <xf numFmtId="166" fontId="15" fillId="0" borderId="0" xfId="2" applyNumberFormat="1" applyFont="1" applyBorder="1"/>
    <xf numFmtId="166" fontId="15" fillId="0" borderId="6" xfId="2" applyNumberFormat="1" applyFont="1" applyBorder="1"/>
    <xf numFmtId="1" fontId="2" fillId="0" borderId="5" xfId="0" applyNumberFormat="1" applyFont="1" applyBorder="1"/>
    <xf numFmtId="1" fontId="2" fillId="0" borderId="0" xfId="0" applyNumberFormat="1" applyFont="1"/>
    <xf numFmtId="1" fontId="2" fillId="0" borderId="6" xfId="0" applyNumberFormat="1" applyFont="1" applyBorder="1"/>
    <xf numFmtId="165" fontId="6" fillId="9" borderId="0" xfId="6" applyNumberFormat="1" applyFont="1" applyFill="1"/>
    <xf numFmtId="165" fontId="2" fillId="9" borderId="0" xfId="6" applyNumberFormat="1" applyFont="1" applyFill="1"/>
    <xf numFmtId="0" fontId="2" fillId="11" borderId="5" xfId="0" applyFont="1" applyFill="1" applyBorder="1"/>
    <xf numFmtId="0" fontId="2" fillId="11" borderId="0" xfId="0" applyFont="1" applyFill="1"/>
    <xf numFmtId="166" fontId="2" fillId="0" borderId="5" xfId="0" applyNumberFormat="1" applyFont="1" applyBorder="1" applyAlignment="1">
      <alignment horizontal="center"/>
    </xf>
    <xf numFmtId="166" fontId="15" fillId="0" borderId="5" xfId="0" applyNumberFormat="1" applyFont="1" applyBorder="1"/>
    <xf numFmtId="166" fontId="15" fillId="0" borderId="0" xfId="0" applyNumberFormat="1" applyFont="1"/>
    <xf numFmtId="166" fontId="1" fillId="0" borderId="5" xfId="0" applyNumberFormat="1" applyFont="1" applyBorder="1"/>
    <xf numFmtId="166" fontId="1" fillId="0" borderId="0" xfId="0" applyNumberFormat="1" applyFont="1"/>
    <xf numFmtId="165" fontId="2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12" borderId="5" xfId="0" applyFont="1" applyFill="1" applyBorder="1" applyAlignment="1">
      <alignment horizontal="center" wrapText="1"/>
    </xf>
    <xf numFmtId="0" fontId="0" fillId="13" borderId="5" xfId="0" applyFill="1" applyBorder="1"/>
    <xf numFmtId="0" fontId="0" fillId="13" borderId="0" xfId="0" applyFill="1"/>
    <xf numFmtId="165" fontId="2" fillId="0" borderId="5" xfId="1" applyNumberFormat="1" applyFont="1" applyBorder="1"/>
    <xf numFmtId="0" fontId="0" fillId="0" borderId="5" xfId="0" applyBorder="1"/>
    <xf numFmtId="0" fontId="13" fillId="0" borderId="0" xfId="0" applyFont="1" applyAlignment="1">
      <alignment horizontal="left"/>
    </xf>
    <xf numFmtId="166" fontId="2" fillId="0" borderId="0" xfId="2" applyNumberFormat="1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1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3" fillId="0" borderId="0" xfId="0" applyFont="1"/>
    <xf numFmtId="0" fontId="2" fillId="14" borderId="0" xfId="0" applyFont="1" applyFill="1"/>
    <xf numFmtId="165" fontId="15" fillId="0" borderId="0" xfId="1" applyNumberFormat="1" applyFont="1" applyAlignment="1">
      <alignment horizontal="right"/>
    </xf>
    <xf numFmtId="0" fontId="2" fillId="15" borderId="5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18" fillId="0" borderId="0" xfId="0" applyFont="1"/>
    <xf numFmtId="165" fontId="1" fillId="0" borderId="3" xfId="1" applyNumberFormat="1" applyFont="1" applyBorder="1"/>
    <xf numFmtId="166" fontId="13" fillId="0" borderId="3" xfId="2" applyNumberFormat="1" applyFont="1" applyBorder="1" applyAlignment="1">
      <alignment horizontal="right"/>
    </xf>
    <xf numFmtId="0" fontId="6" fillId="11" borderId="5" xfId="0" applyFont="1" applyFill="1" applyBorder="1"/>
    <xf numFmtId="0" fontId="6" fillId="11" borderId="0" xfId="0" applyFont="1" applyFill="1"/>
    <xf numFmtId="166" fontId="2" fillId="0" borderId="5" xfId="2" applyNumberFormat="1" applyFont="1" applyBorder="1" applyAlignment="1">
      <alignment horizontal="center" vertical="center"/>
    </xf>
    <xf numFmtId="166" fontId="2" fillId="0" borderId="0" xfId="2" applyNumberFormat="1" applyFont="1" applyAlignment="1">
      <alignment horizontal="center" vertical="center"/>
    </xf>
    <xf numFmtId="0" fontId="19" fillId="0" borderId="0" xfId="0" applyFont="1"/>
    <xf numFmtId="0" fontId="2" fillId="0" borderId="7" xfId="0" applyFont="1" applyBorder="1"/>
    <xf numFmtId="1" fontId="2" fillId="0" borderId="8" xfId="0" applyNumberFormat="1" applyFont="1" applyBorder="1"/>
    <xf numFmtId="1" fontId="0" fillId="0" borderId="0" xfId="0" applyNumberFormat="1"/>
    <xf numFmtId="0" fontId="2" fillId="0" borderId="5" xfId="0" applyFont="1" applyBorder="1"/>
    <xf numFmtId="0" fontId="2" fillId="0" borderId="9" xfId="0" applyFont="1" applyBorder="1"/>
    <xf numFmtId="1" fontId="2" fillId="0" borderId="10" xfId="0" applyNumberFormat="1" applyFont="1" applyBorder="1"/>
    <xf numFmtId="165" fontId="18" fillId="0" borderId="0" xfId="1" applyNumberFormat="1" applyFont="1"/>
    <xf numFmtId="165" fontId="17" fillId="0" borderId="0" xfId="1" applyNumberFormat="1" applyFont="1"/>
    <xf numFmtId="43" fontId="14" fillId="0" borderId="0" xfId="1" applyFont="1" applyBorder="1"/>
    <xf numFmtId="43" fontId="3" fillId="0" borderId="0" xfId="0" applyNumberFormat="1" applyFont="1"/>
    <xf numFmtId="0" fontId="14" fillId="0" borderId="0" xfId="0" applyFont="1"/>
    <xf numFmtId="0" fontId="0" fillId="15" borderId="0" xfId="0" applyFill="1"/>
    <xf numFmtId="165" fontId="18" fillId="0" borderId="0" xfId="0" applyNumberFormat="1" applyFont="1"/>
    <xf numFmtId="165" fontId="17" fillId="0" borderId="0" xfId="1" applyNumberFormat="1" applyFont="1" applyBorder="1"/>
    <xf numFmtId="165" fontId="2" fillId="0" borderId="0" xfId="1" applyNumberFormat="1" applyFont="1" applyAlignment="1">
      <alignment horizontal="center"/>
    </xf>
    <xf numFmtId="165" fontId="1" fillId="0" borderId="0" xfId="1" applyNumberFormat="1" applyFont="1" applyBorder="1"/>
    <xf numFmtId="165" fontId="19" fillId="0" borderId="4" xfId="1" applyNumberFormat="1" applyFont="1" applyBorder="1"/>
    <xf numFmtId="0" fontId="2" fillId="12" borderId="0" xfId="0" applyFont="1" applyFill="1" applyBorder="1" applyAlignment="1">
      <alignment horizontal="center" wrapText="1"/>
    </xf>
    <xf numFmtId="0" fontId="6" fillId="11" borderId="0" xfId="0" applyFont="1" applyFill="1" applyBorder="1" applyAlignment="1">
      <alignment horizontal="center"/>
    </xf>
    <xf numFmtId="0" fontId="2" fillId="6" borderId="5" xfId="0" applyFont="1" applyFill="1" applyBorder="1"/>
    <xf numFmtId="0" fontId="2" fillId="14" borderId="5" xfId="0" applyFont="1" applyFill="1" applyBorder="1"/>
    <xf numFmtId="165" fontId="1" fillId="0" borderId="9" xfId="1" applyNumberFormat="1" applyFont="1" applyBorder="1"/>
    <xf numFmtId="166" fontId="13" fillId="0" borderId="5" xfId="2" applyNumberFormat="1" applyFont="1" applyBorder="1" applyAlignment="1">
      <alignment horizontal="right"/>
    </xf>
    <xf numFmtId="165" fontId="1" fillId="0" borderId="5" xfId="1" applyNumberFormat="1" applyFont="1" applyBorder="1"/>
    <xf numFmtId="166" fontId="13" fillId="0" borderId="9" xfId="2" applyNumberFormat="1" applyFont="1" applyBorder="1" applyAlignment="1">
      <alignment horizontal="right"/>
    </xf>
    <xf numFmtId="165" fontId="2" fillId="0" borderId="11" xfId="1" applyNumberFormat="1" applyFont="1" applyBorder="1"/>
    <xf numFmtId="44" fontId="0" fillId="0" borderId="5" xfId="5" applyFont="1" applyBorder="1"/>
    <xf numFmtId="165" fontId="0" fillId="0" borderId="5" xfId="0" applyNumberFormat="1" applyBorder="1"/>
    <xf numFmtId="165" fontId="0" fillId="0" borderId="5" xfId="1" applyNumberFormat="1" applyFont="1" applyBorder="1"/>
    <xf numFmtId="165" fontId="17" fillId="0" borderId="5" xfId="1" applyNumberFormat="1" applyFont="1" applyBorder="1"/>
    <xf numFmtId="43" fontId="14" fillId="0" borderId="5" xfId="1" applyFont="1" applyBorder="1"/>
    <xf numFmtId="165" fontId="2" fillId="0" borderId="12" xfId="1" applyNumberFormat="1" applyFont="1" applyBorder="1"/>
    <xf numFmtId="165" fontId="19" fillId="0" borderId="12" xfId="1" applyNumberFormat="1" applyFont="1" applyBorder="1"/>
    <xf numFmtId="0" fontId="21" fillId="16" borderId="0" xfId="0" applyFont="1" applyFill="1" applyAlignment="1">
      <alignment horizontal="center"/>
    </xf>
    <xf numFmtId="0" fontId="20" fillId="16" borderId="0" xfId="0" applyFont="1" applyFill="1" applyAlignment="1">
      <alignment horizontal="center" wrapText="1"/>
    </xf>
    <xf numFmtId="165" fontId="2" fillId="0" borderId="0" xfId="0" applyNumberFormat="1" applyFont="1" applyBorder="1"/>
    <xf numFmtId="0" fontId="2" fillId="0" borderId="5" xfId="0" applyFont="1" applyBorder="1" applyAlignment="1">
      <alignment vertical="center"/>
    </xf>
    <xf numFmtId="166" fontId="18" fillId="0" borderId="0" xfId="2" applyNumberFormat="1" applyFont="1"/>
    <xf numFmtId="0" fontId="18" fillId="0" borderId="0" xfId="0" applyFont="1" applyBorder="1"/>
  </cellXfs>
  <cellStyles count="7">
    <cellStyle name="60% - Accent1 2" xfId="6" xr:uid="{A3C4A8A9-4AAE-44E4-A772-598C5E62F6D1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9%20Building%20Operational%20Forecast%20Model.xlsx" TargetMode="External"/><Relationship Id="rId1" Type="http://schemas.openxmlformats.org/officeDocument/2006/relationships/externalLinkPath" Target="Task%209%20Building%20Operational%20Forecast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0%20-%20Linking%20Balance%20sheet.xlsx" TargetMode="External"/><Relationship Id="rId1" Type="http://schemas.openxmlformats.org/officeDocument/2006/relationships/externalLinkPath" Target="Task%2010%20-%20Linking%20Balance%20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1%20-%20Linking%20Cash%20Flow%20Statement.xlsx" TargetMode="External"/><Relationship Id="rId1" Type="http://schemas.openxmlformats.org/officeDocument/2006/relationships/externalLinkPath" Target="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26">
          <cell r="B126">
            <v>115</v>
          </cell>
          <cell r="C126">
            <v>73</v>
          </cell>
          <cell r="D126">
            <v>73</v>
          </cell>
          <cell r="E126">
            <v>88</v>
          </cell>
          <cell r="F126">
            <v>42</v>
          </cell>
          <cell r="G126">
            <v>30</v>
          </cell>
          <cell r="H126">
            <v>25</v>
          </cell>
          <cell r="I126">
            <v>102</v>
          </cell>
        </row>
        <row r="133">
          <cell r="B133">
            <v>-82</v>
          </cell>
          <cell r="C133">
            <v>-86</v>
          </cell>
          <cell r="D133">
            <v>75</v>
          </cell>
          <cell r="E133">
            <v>26</v>
          </cell>
          <cell r="F133">
            <v>-7</v>
          </cell>
          <cell r="G133">
            <v>-11</v>
          </cell>
          <cell r="H133">
            <v>40</v>
          </cell>
          <cell r="I133">
            <v>-72</v>
          </cell>
        </row>
        <row r="141">
          <cell r="B141">
            <v>-2267</v>
          </cell>
          <cell r="C141">
            <v>-2596</v>
          </cell>
          <cell r="D141">
            <v>-2677</v>
          </cell>
          <cell r="E141">
            <v>-2658</v>
          </cell>
          <cell r="F141">
            <v>-3262</v>
          </cell>
          <cell r="G141">
            <v>-3468</v>
          </cell>
          <cell r="H141">
            <v>-3656</v>
          </cell>
          <cell r="I141">
            <v>-4262</v>
          </cell>
        </row>
        <row r="144">
          <cell r="B144">
            <v>-1097</v>
          </cell>
          <cell r="C144">
            <v>-1173</v>
          </cell>
          <cell r="D144">
            <v>-724</v>
          </cell>
          <cell r="E144">
            <v>-1456</v>
          </cell>
          <cell r="F144">
            <v>-1810</v>
          </cell>
          <cell r="G144">
            <v>-1967</v>
          </cell>
          <cell r="H144">
            <v>-2261</v>
          </cell>
          <cell r="I144">
            <v>-2219</v>
          </cell>
        </row>
        <row r="159">
          <cell r="B159">
            <v>208</v>
          </cell>
          <cell r="C159">
            <v>242</v>
          </cell>
          <cell r="D159">
            <v>223</v>
          </cell>
          <cell r="E159">
            <v>196</v>
          </cell>
          <cell r="F159">
            <v>117</v>
          </cell>
          <cell r="G159">
            <v>110</v>
          </cell>
          <cell r="H159">
            <v>98</v>
          </cell>
          <cell r="I159">
            <v>146</v>
          </cell>
        </row>
        <row r="160">
          <cell r="B160">
            <v>236</v>
          </cell>
          <cell r="C160">
            <v>234</v>
          </cell>
          <cell r="D160">
            <v>173</v>
          </cell>
          <cell r="E160">
            <v>240</v>
          </cell>
          <cell r="F160">
            <v>233</v>
          </cell>
          <cell r="G160">
            <v>139</v>
          </cell>
          <cell r="H160">
            <v>153</v>
          </cell>
          <cell r="I160">
            <v>197</v>
          </cell>
        </row>
        <row r="163">
          <cell r="B163">
            <v>225</v>
          </cell>
          <cell r="C163">
            <v>258</v>
          </cell>
          <cell r="D163">
            <v>278</v>
          </cell>
          <cell r="E163">
            <v>286</v>
          </cell>
          <cell r="F163">
            <v>278</v>
          </cell>
          <cell r="G163">
            <v>438</v>
          </cell>
          <cell r="H163">
            <v>278</v>
          </cell>
          <cell r="I163">
            <v>222</v>
          </cell>
        </row>
        <row r="165">
          <cell r="B165">
            <v>69</v>
          </cell>
          <cell r="C165">
            <v>39</v>
          </cell>
          <cell r="D165">
            <v>30</v>
          </cell>
          <cell r="E165">
            <v>22</v>
          </cell>
          <cell r="F165">
            <v>18</v>
          </cell>
          <cell r="G165">
            <v>12</v>
          </cell>
          <cell r="H165">
            <v>7</v>
          </cell>
          <cell r="I165">
            <v>9</v>
          </cell>
        </row>
        <row r="166">
          <cell r="B166">
            <v>104</v>
          </cell>
          <cell r="C166">
            <v>264</v>
          </cell>
          <cell r="D166">
            <v>291</v>
          </cell>
          <cell r="E166">
            <v>159</v>
          </cell>
          <cell r="F166">
            <v>377</v>
          </cell>
          <cell r="G166">
            <v>318</v>
          </cell>
          <cell r="H166">
            <v>11</v>
          </cell>
          <cell r="I166">
            <v>50</v>
          </cell>
        </row>
        <row r="174">
          <cell r="B174">
            <v>210</v>
          </cell>
          <cell r="C174">
            <v>230</v>
          </cell>
          <cell r="D174">
            <v>233</v>
          </cell>
          <cell r="E174">
            <v>217</v>
          </cell>
          <cell r="F174">
            <v>195</v>
          </cell>
          <cell r="G174">
            <v>214</v>
          </cell>
          <cell r="H174">
            <v>222</v>
          </cell>
          <cell r="I174">
            <v>220</v>
          </cell>
        </row>
        <row r="177">
          <cell r="B177">
            <v>75</v>
          </cell>
          <cell r="C177">
            <v>84</v>
          </cell>
          <cell r="D177">
            <v>91</v>
          </cell>
          <cell r="E177">
            <v>110</v>
          </cell>
          <cell r="F177">
            <v>116</v>
          </cell>
          <cell r="G177">
            <v>112</v>
          </cell>
          <cell r="H177">
            <v>141</v>
          </cell>
          <cell r="I177">
            <v>134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3.7008141112618724</v>
          </cell>
          <cell r="C15">
            <v>2.1578192252510759</v>
          </cell>
          <cell r="D15">
            <v>2.5059101654846336</v>
          </cell>
          <cell r="E15">
            <v>1.1650895063588693</v>
          </cell>
          <cell r="F15">
            <v>2.4894957983193278</v>
          </cell>
          <cell r="G15">
            <v>1.5952500628298569</v>
          </cell>
          <cell r="H15">
            <v>3.56</v>
          </cell>
          <cell r="I15">
            <v>3.75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7">
          <cell r="B27">
            <v>3852</v>
          </cell>
          <cell r="C27">
            <v>3138</v>
          </cell>
          <cell r="D27">
            <v>3808</v>
          </cell>
          <cell r="E27">
            <v>4249</v>
          </cell>
          <cell r="F27">
            <v>4466</v>
          </cell>
          <cell r="G27">
            <v>8348</v>
          </cell>
          <cell r="H27">
            <v>9889</v>
          </cell>
          <cell r="I27">
            <v>8574</v>
          </cell>
        </row>
        <row r="28">
          <cell r="B28">
            <v>2072</v>
          </cell>
          <cell r="C28">
            <v>2319</v>
          </cell>
          <cell r="D28">
            <v>2371</v>
          </cell>
          <cell r="E28">
            <v>996</v>
          </cell>
          <cell r="F28">
            <v>197</v>
          </cell>
          <cell r="G28">
            <v>439</v>
          </cell>
          <cell r="H28">
            <v>3587</v>
          </cell>
          <cell r="I28">
            <v>4423</v>
          </cell>
        </row>
        <row r="29">
          <cell r="B29">
            <v>3358</v>
          </cell>
          <cell r="C29">
            <v>3241</v>
          </cell>
          <cell r="D29">
            <v>3677</v>
          </cell>
          <cell r="E29">
            <v>3498</v>
          </cell>
          <cell r="F29">
            <v>4272</v>
          </cell>
          <cell r="G29">
            <v>2749</v>
          </cell>
          <cell r="H29">
            <v>4463</v>
          </cell>
          <cell r="I29">
            <v>4667</v>
          </cell>
        </row>
        <row r="30">
          <cell r="B30">
            <v>4337</v>
          </cell>
          <cell r="C30">
            <v>4838</v>
          </cell>
          <cell r="D30">
            <v>5055</v>
          </cell>
          <cell r="E30">
            <v>5261</v>
          </cell>
          <cell r="F30">
            <v>5622</v>
          </cell>
          <cell r="G30">
            <v>7367</v>
          </cell>
          <cell r="H30">
            <v>6854</v>
          </cell>
          <cell r="I30">
            <v>8420</v>
          </cell>
        </row>
        <row r="31">
          <cell r="B31">
            <v>1968</v>
          </cell>
          <cell r="C31">
            <v>1489</v>
          </cell>
          <cell r="D31">
            <v>1150</v>
          </cell>
          <cell r="E31">
            <v>1130</v>
          </cell>
          <cell r="F31">
            <v>1968</v>
          </cell>
          <cell r="G31">
            <v>1653</v>
          </cell>
          <cell r="H31">
            <v>1498</v>
          </cell>
          <cell r="I31">
            <v>2129</v>
          </cell>
        </row>
        <row r="33">
          <cell r="B33">
            <v>3011</v>
          </cell>
          <cell r="C33">
            <v>3520</v>
          </cell>
          <cell r="D33">
            <v>3989</v>
          </cell>
          <cell r="E33">
            <v>4454</v>
          </cell>
          <cell r="F33">
            <v>4744</v>
          </cell>
          <cell r="G33">
            <v>4866</v>
          </cell>
          <cell r="H33">
            <v>4904</v>
          </cell>
          <cell r="I33">
            <v>4791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3097</v>
          </cell>
          <cell r="H34">
            <v>3113</v>
          </cell>
          <cell r="I34">
            <v>2926</v>
          </cell>
        </row>
        <row r="35">
          <cell r="B35">
            <v>281</v>
          </cell>
          <cell r="C35">
            <v>281</v>
          </cell>
          <cell r="D35">
            <v>283</v>
          </cell>
          <cell r="E35">
            <v>285</v>
          </cell>
          <cell r="F35">
            <v>283</v>
          </cell>
          <cell r="G35">
            <v>274</v>
          </cell>
          <cell r="H35">
            <v>269</v>
          </cell>
          <cell r="I35">
            <v>286</v>
          </cell>
        </row>
        <row r="36">
          <cell r="B36">
            <v>131</v>
          </cell>
          <cell r="C36">
            <v>131</v>
          </cell>
          <cell r="D36">
            <v>139</v>
          </cell>
          <cell r="E36">
            <v>154</v>
          </cell>
          <cell r="F36">
            <v>154</v>
          </cell>
          <cell r="G36">
            <v>223</v>
          </cell>
          <cell r="H36">
            <v>242</v>
          </cell>
          <cell r="I36">
            <v>284</v>
          </cell>
        </row>
        <row r="37">
          <cell r="B37">
            <v>2587</v>
          </cell>
          <cell r="C37">
            <v>2439</v>
          </cell>
          <cell r="D37">
            <v>2787</v>
          </cell>
          <cell r="E37">
            <v>2509</v>
          </cell>
          <cell r="F37">
            <v>2011</v>
          </cell>
          <cell r="G37">
            <v>2326</v>
          </cell>
          <cell r="H37">
            <v>2921</v>
          </cell>
          <cell r="I37">
            <v>3821</v>
          </cell>
        </row>
        <row r="38">
          <cell r="B38">
            <v>21597</v>
          </cell>
          <cell r="C38">
            <v>21396</v>
          </cell>
          <cell r="D38">
            <v>23259</v>
          </cell>
          <cell r="E38">
            <v>22536</v>
          </cell>
          <cell r="F38">
            <v>23717</v>
          </cell>
          <cell r="G38">
            <v>31342</v>
          </cell>
          <cell r="H38">
            <v>37740</v>
          </cell>
          <cell r="I38">
            <v>40321</v>
          </cell>
        </row>
        <row r="41">
          <cell r="B41">
            <v>107</v>
          </cell>
          <cell r="C41">
            <v>44</v>
          </cell>
          <cell r="D41">
            <v>6</v>
          </cell>
          <cell r="E41">
            <v>6</v>
          </cell>
          <cell r="F41">
            <v>6</v>
          </cell>
          <cell r="G41">
            <v>3</v>
          </cell>
          <cell r="H41">
            <v>0</v>
          </cell>
          <cell r="I41">
            <v>500</v>
          </cell>
        </row>
        <row r="42">
          <cell r="B42">
            <v>74</v>
          </cell>
          <cell r="C42">
            <v>1</v>
          </cell>
          <cell r="D42">
            <v>325</v>
          </cell>
          <cell r="E42">
            <v>336</v>
          </cell>
          <cell r="F42">
            <v>9</v>
          </cell>
          <cell r="G42">
            <v>248</v>
          </cell>
          <cell r="H42">
            <v>2</v>
          </cell>
          <cell r="I42">
            <v>10</v>
          </cell>
        </row>
        <row r="43">
          <cell r="B43">
            <v>2131</v>
          </cell>
          <cell r="C43">
            <v>2191</v>
          </cell>
          <cell r="D43">
            <v>2048</v>
          </cell>
          <cell r="E43">
            <v>2279</v>
          </cell>
          <cell r="F43">
            <v>2612</v>
          </cell>
          <cell r="G43">
            <v>2248</v>
          </cell>
          <cell r="H43">
            <v>2836</v>
          </cell>
          <cell r="I43">
            <v>3358</v>
          </cell>
        </row>
        <row r="44">
          <cell r="B44">
            <v>3949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467</v>
          </cell>
          <cell r="I44">
            <v>420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445</v>
          </cell>
          <cell r="H45">
            <v>6063</v>
          </cell>
          <cell r="I45">
            <v>6220</v>
          </cell>
        </row>
        <row r="46">
          <cell r="B46">
            <v>71</v>
          </cell>
          <cell r="C46">
            <v>85</v>
          </cell>
          <cell r="D46">
            <v>84</v>
          </cell>
          <cell r="E46">
            <v>150</v>
          </cell>
          <cell r="F46">
            <v>229</v>
          </cell>
          <cell r="G46">
            <v>156</v>
          </cell>
          <cell r="H46">
            <v>306</v>
          </cell>
          <cell r="I46">
            <v>222</v>
          </cell>
        </row>
        <row r="48">
          <cell r="B48">
            <v>1079</v>
          </cell>
          <cell r="C48">
            <v>2010</v>
          </cell>
          <cell r="D48">
            <v>3471</v>
          </cell>
          <cell r="E48">
            <v>3468</v>
          </cell>
          <cell r="F48">
            <v>3464</v>
          </cell>
          <cell r="G48">
            <v>9406</v>
          </cell>
          <cell r="H48">
            <v>9413</v>
          </cell>
          <cell r="I48">
            <v>8920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2913</v>
          </cell>
          <cell r="H49">
            <v>2931</v>
          </cell>
          <cell r="I49">
            <v>2777</v>
          </cell>
        </row>
        <row r="50">
          <cell r="B50">
            <v>1479</v>
          </cell>
          <cell r="C50">
            <v>1770</v>
          </cell>
          <cell r="D50">
            <v>1907</v>
          </cell>
          <cell r="E50">
            <v>3216</v>
          </cell>
          <cell r="F50">
            <v>3347</v>
          </cell>
          <cell r="G50">
            <v>2684</v>
          </cell>
          <cell r="H50">
            <v>2955</v>
          </cell>
          <cell r="I50">
            <v>2613</v>
          </cell>
        </row>
        <row r="56">
          <cell r="B56">
            <v>3</v>
          </cell>
          <cell r="C56">
            <v>3</v>
          </cell>
          <cell r="D56">
            <v>3</v>
          </cell>
          <cell r="E56">
            <v>3</v>
          </cell>
          <cell r="F56">
            <v>3</v>
          </cell>
          <cell r="G56">
            <v>3</v>
          </cell>
          <cell r="H56">
            <v>3</v>
          </cell>
          <cell r="I56">
            <v>3</v>
          </cell>
        </row>
        <row r="59">
          <cell r="B59">
            <v>4685</v>
          </cell>
          <cell r="C59">
            <v>4151</v>
          </cell>
          <cell r="D59">
            <v>6907</v>
          </cell>
          <cell r="E59">
            <v>3517</v>
          </cell>
          <cell r="F59">
            <v>1643</v>
          </cell>
          <cell r="H59">
            <v>3179</v>
          </cell>
          <cell r="I59">
            <v>3476</v>
          </cell>
        </row>
        <row r="61">
          <cell r="B61">
            <v>21597</v>
          </cell>
          <cell r="C61">
            <v>21396</v>
          </cell>
          <cell r="D61">
            <v>23259</v>
          </cell>
          <cell r="E61">
            <v>22536</v>
          </cell>
          <cell r="F61">
            <v>23717</v>
          </cell>
          <cell r="G61">
            <v>31342</v>
          </cell>
          <cell r="H61">
            <v>37740</v>
          </cell>
          <cell r="I61">
            <v>40321</v>
          </cell>
        </row>
        <row r="68">
          <cell r="B68">
            <v>606</v>
          </cell>
          <cell r="C68">
            <v>649</v>
          </cell>
          <cell r="D68">
            <v>706</v>
          </cell>
          <cell r="E68">
            <v>747</v>
          </cell>
          <cell r="F68">
            <v>705</v>
          </cell>
          <cell r="G68">
            <v>721</v>
          </cell>
          <cell r="H68">
            <v>744</v>
          </cell>
          <cell r="I68">
            <v>717</v>
          </cell>
        </row>
        <row r="71">
          <cell r="C71">
            <v>13</v>
          </cell>
          <cell r="D71">
            <v>10</v>
          </cell>
          <cell r="E71">
            <v>27</v>
          </cell>
          <cell r="F71">
            <v>15</v>
          </cell>
          <cell r="G71">
            <v>398</v>
          </cell>
          <cell r="H71">
            <v>53</v>
          </cell>
          <cell r="I71">
            <v>123</v>
          </cell>
        </row>
        <row r="78">
          <cell r="B78">
            <v>4680</v>
          </cell>
          <cell r="C78">
            <v>3096</v>
          </cell>
          <cell r="D78">
            <v>3846</v>
          </cell>
          <cell r="E78">
            <v>4955</v>
          </cell>
          <cell r="F78">
            <v>5903</v>
          </cell>
          <cell r="G78">
            <v>2485</v>
          </cell>
          <cell r="H78">
            <v>6657</v>
          </cell>
          <cell r="I78">
            <v>5188</v>
          </cell>
        </row>
        <row r="80">
          <cell r="B80">
            <v>-4936</v>
          </cell>
          <cell r="C80">
            <v>-5367</v>
          </cell>
          <cell r="D80">
            <v>-5928</v>
          </cell>
          <cell r="E80">
            <v>-4783</v>
          </cell>
          <cell r="F80">
            <v>-2937</v>
          </cell>
          <cell r="G80">
            <v>-2426</v>
          </cell>
          <cell r="H80">
            <v>-9961</v>
          </cell>
          <cell r="I80">
            <v>-12913</v>
          </cell>
        </row>
        <row r="81">
          <cell r="B81">
            <v>3655</v>
          </cell>
          <cell r="C81">
            <v>2924</v>
          </cell>
          <cell r="D81">
            <v>3623</v>
          </cell>
          <cell r="E81">
            <v>3613</v>
          </cell>
          <cell r="F81">
            <v>1715</v>
          </cell>
          <cell r="G81">
            <v>74</v>
          </cell>
          <cell r="H81">
            <v>4236</v>
          </cell>
          <cell r="I81">
            <v>8199</v>
          </cell>
        </row>
        <row r="82">
          <cell r="B82">
            <v>2216</v>
          </cell>
          <cell r="C82">
            <v>2386</v>
          </cell>
          <cell r="D82">
            <v>2423</v>
          </cell>
          <cell r="E82">
            <v>2496</v>
          </cell>
          <cell r="F82">
            <v>2072</v>
          </cell>
          <cell r="G82">
            <v>2379</v>
          </cell>
          <cell r="H82">
            <v>2449</v>
          </cell>
          <cell r="I82">
            <v>3967</v>
          </cell>
        </row>
        <row r="83">
          <cell r="B83">
            <v>-150</v>
          </cell>
          <cell r="C83">
            <v>150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85">
          <cell r="B85">
            <v>3</v>
          </cell>
          <cell r="C85">
            <v>10</v>
          </cell>
          <cell r="D85">
            <v>13</v>
          </cell>
          <cell r="E85">
            <v>3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0</v>
          </cell>
          <cell r="C86">
            <v>6</v>
          </cell>
          <cell r="D86">
            <v>-34</v>
          </cell>
          <cell r="E86">
            <v>-25</v>
          </cell>
          <cell r="F86">
            <v>0</v>
          </cell>
          <cell r="G86">
            <v>31</v>
          </cell>
          <cell r="H86">
            <v>171</v>
          </cell>
          <cell r="I86">
            <v>-19</v>
          </cell>
        </row>
        <row r="87">
          <cell r="B87">
            <v>-175</v>
          </cell>
          <cell r="C87">
            <v>-1034</v>
          </cell>
          <cell r="D87">
            <v>-1008</v>
          </cell>
          <cell r="E87">
            <v>276</v>
          </cell>
          <cell r="F87">
            <v>-264</v>
          </cell>
          <cell r="G87">
            <v>-1028</v>
          </cell>
          <cell r="H87">
            <v>-3800</v>
          </cell>
          <cell r="I87">
            <v>-1524</v>
          </cell>
        </row>
        <row r="89">
          <cell r="B89">
            <v>0</v>
          </cell>
          <cell r="C89">
            <v>981</v>
          </cell>
          <cell r="D89">
            <v>1482</v>
          </cell>
          <cell r="E89">
            <v>0</v>
          </cell>
          <cell r="F89">
            <v>0</v>
          </cell>
          <cell r="G89">
            <v>6134</v>
          </cell>
          <cell r="H89">
            <v>0</v>
          </cell>
          <cell r="I89">
            <v>0</v>
          </cell>
        </row>
        <row r="90">
          <cell r="B90">
            <v>-63</v>
          </cell>
          <cell r="C90">
            <v>-106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-7</v>
          </cell>
          <cell r="C91">
            <v>-67</v>
          </cell>
          <cell r="D91">
            <v>-44</v>
          </cell>
          <cell r="E91">
            <v>-6</v>
          </cell>
          <cell r="F91">
            <v>-6</v>
          </cell>
          <cell r="G91">
            <v>0</v>
          </cell>
          <cell r="H91">
            <v>-197</v>
          </cell>
          <cell r="I91">
            <v>0</v>
          </cell>
        </row>
        <row r="93">
          <cell r="B93">
            <v>218</v>
          </cell>
          <cell r="C93">
            <v>507</v>
          </cell>
          <cell r="D93">
            <v>489</v>
          </cell>
          <cell r="E93">
            <v>733</v>
          </cell>
          <cell r="F93">
            <v>700</v>
          </cell>
          <cell r="G93">
            <v>0</v>
          </cell>
          <cell r="H93">
            <v>0</v>
          </cell>
          <cell r="I93">
            <v>0</v>
          </cell>
        </row>
        <row r="95">
          <cell r="B95">
            <v>-899</v>
          </cell>
          <cell r="C95">
            <v>-3238</v>
          </cell>
          <cell r="D95">
            <v>-1133</v>
          </cell>
          <cell r="E95">
            <v>-1243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-19</v>
          </cell>
          <cell r="C96">
            <v>-1022</v>
          </cell>
          <cell r="D96">
            <v>-29</v>
          </cell>
          <cell r="E96">
            <v>-55</v>
          </cell>
          <cell r="F96">
            <v>-17</v>
          </cell>
          <cell r="G96">
            <v>-58</v>
          </cell>
          <cell r="H96">
            <v>-136</v>
          </cell>
          <cell r="I96">
            <v>-151</v>
          </cell>
        </row>
        <row r="97">
          <cell r="B97">
            <v>-2790</v>
          </cell>
          <cell r="C97">
            <v>-2671</v>
          </cell>
          <cell r="D97">
            <v>-2148</v>
          </cell>
          <cell r="E97">
            <v>-4835</v>
          </cell>
          <cell r="F97">
            <v>-5293</v>
          </cell>
          <cell r="G97">
            <v>2491</v>
          </cell>
          <cell r="H97">
            <v>-1459</v>
          </cell>
          <cell r="I97">
            <v>-4836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99">
          <cell r="B99">
            <v>1632</v>
          </cell>
          <cell r="C99">
            <v>-714</v>
          </cell>
          <cell r="D99">
            <v>670</v>
          </cell>
          <cell r="E99">
            <v>441</v>
          </cell>
          <cell r="F99">
            <v>217</v>
          </cell>
          <cell r="G99">
            <v>3882</v>
          </cell>
          <cell r="H99">
            <v>1541</v>
          </cell>
          <cell r="I99">
            <v>-1315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57">
          <cell r="B57">
            <v>6773</v>
          </cell>
          <cell r="C57">
            <v>7786</v>
          </cell>
          <cell r="D57">
            <v>5710</v>
          </cell>
          <cell r="E57">
            <v>6384</v>
          </cell>
          <cell r="F57">
            <v>7163</v>
          </cell>
          <cell r="G57">
            <v>8299</v>
          </cell>
          <cell r="H57">
            <v>9965</v>
          </cell>
          <cell r="I57">
            <v>11484</v>
          </cell>
        </row>
        <row r="58">
          <cell r="B58">
            <v>1246</v>
          </cell>
          <cell r="C58">
            <v>318</v>
          </cell>
          <cell r="D58">
            <v>-213</v>
          </cell>
          <cell r="E58">
            <v>-92</v>
          </cell>
          <cell r="F58">
            <v>231</v>
          </cell>
          <cell r="G58">
            <v>-56</v>
          </cell>
          <cell r="H58">
            <v>-380</v>
          </cell>
          <cell r="I58">
            <v>318</v>
          </cell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94">
          <cell r="B94">
            <v>-2534</v>
          </cell>
          <cell r="C94">
            <v>281</v>
          </cell>
          <cell r="D94">
            <v>-3223</v>
          </cell>
          <cell r="E94">
            <v>-4254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  <cell r="H106">
            <v>1177</v>
          </cell>
          <cell r="I106">
            <v>1231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  <cell r="H107">
            <v>179</v>
          </cell>
          <cell r="I107">
            <v>160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138</v>
      </c>
    </row>
    <row r="3" spans="1:1" x14ac:dyDescent="0.3">
      <c r="A3" s="1" t="s">
        <v>139</v>
      </c>
    </row>
    <row r="4" spans="1:1" x14ac:dyDescent="0.3">
      <c r="A4" t="s">
        <v>140</v>
      </c>
    </row>
    <row r="5" spans="1:1" x14ac:dyDescent="0.3">
      <c r="A5" s="2" t="s">
        <v>141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142</v>
      </c>
    </row>
    <row r="9" spans="1:1" x14ac:dyDescent="0.3">
      <c r="A9" t="s">
        <v>145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9"/>
  <sheetViews>
    <sheetView zoomScale="90" zoomScaleNormal="90" workbookViewId="0">
      <pane ySplit="1" topLeftCell="A70" activePane="bottomLeft" state="frozen"/>
      <selection pane="bottomLeft" activeCell="B132" sqref="B13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  <c r="K12" s="53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54">
        <f t="shared" ref="B14:G15" si="5">B$12/B17</f>
        <v>3.7983056748288266</v>
      </c>
      <c r="C14" s="54">
        <f t="shared" si="5"/>
        <v>2.2145002650332763</v>
      </c>
      <c r="D14" s="54">
        <f t="shared" si="5"/>
        <v>2.5576064664012548</v>
      </c>
      <c r="E14" s="54">
        <f t="shared" si="5"/>
        <v>1.1904175391058012</v>
      </c>
      <c r="F14" s="54">
        <f t="shared" si="5"/>
        <v>2.5504842691650311</v>
      </c>
      <c r="G14" s="54">
        <f t="shared" si="5"/>
        <v>1.6288170387477547</v>
      </c>
      <c r="H14" s="54">
        <v>3.64</v>
      </c>
      <c r="I14" s="54">
        <v>3.83</v>
      </c>
    </row>
    <row r="15" spans="1:11" x14ac:dyDescent="0.3">
      <c r="A15" s="2" t="s">
        <v>7</v>
      </c>
      <c r="B15" s="54">
        <f t="shared" si="5"/>
        <v>3.7008141112618724</v>
      </c>
      <c r="C15" s="54">
        <f t="shared" si="5"/>
        <v>2.1578192252510759</v>
      </c>
      <c r="D15" s="54">
        <f t="shared" si="5"/>
        <v>2.5059101654846336</v>
      </c>
      <c r="E15" s="54">
        <f t="shared" si="5"/>
        <v>1.1650895063588693</v>
      </c>
      <c r="F15" s="54">
        <f t="shared" si="5"/>
        <v>2.4894957983193278</v>
      </c>
      <c r="G15" s="54">
        <f t="shared" si="5"/>
        <v>1.5952500628298569</v>
      </c>
      <c r="H15" s="54">
        <v>3.56</v>
      </c>
      <c r="I15" s="54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55">
        <v>861.7</v>
      </c>
      <c r="C17" s="55">
        <v>1697.9</v>
      </c>
      <c r="D17" s="55">
        <v>1657.8</v>
      </c>
      <c r="E17" s="55">
        <v>1623.8</v>
      </c>
      <c r="F17" s="55">
        <v>1579.7</v>
      </c>
      <c r="G17" s="55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55">
        <v>884.4</v>
      </c>
      <c r="C18" s="55">
        <v>1742.5</v>
      </c>
      <c r="D18" s="55">
        <v>1692</v>
      </c>
      <c r="E18" s="55">
        <v>1659.1</v>
      </c>
      <c r="F18" s="55">
        <v>1618.4</v>
      </c>
      <c r="G18" s="55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</row>
    <row r="22" spans="1:9" x14ac:dyDescent="0.3">
      <c r="A22" t="s">
        <v>188</v>
      </c>
      <c r="B22" s="52">
        <f t="shared" ref="B22:H22" si="7">B32-B47</f>
        <v>9255</v>
      </c>
      <c r="C22" s="52">
        <f t="shared" si="7"/>
        <v>9667</v>
      </c>
      <c r="D22" s="52">
        <f t="shared" si="7"/>
        <v>10587</v>
      </c>
      <c r="E22" s="52">
        <f t="shared" si="7"/>
        <v>9094</v>
      </c>
      <c r="F22" s="52">
        <f t="shared" si="7"/>
        <v>8659</v>
      </c>
      <c r="G22" s="52">
        <f t="shared" si="7"/>
        <v>12272</v>
      </c>
      <c r="H22" s="52">
        <f t="shared" si="7"/>
        <v>16617</v>
      </c>
      <c r="I22" s="52">
        <f>I32-I47</f>
        <v>17483</v>
      </c>
    </row>
    <row r="23" spans="1:9" x14ac:dyDescent="0.3">
      <c r="A23" t="s">
        <v>155</v>
      </c>
      <c r="B23" s="52">
        <f>(B29+B30)-B43</f>
        <v>5564</v>
      </c>
      <c r="C23" s="52">
        <f t="shared" ref="C23:I23" si="8">(C29+C30)-C43</f>
        <v>5888</v>
      </c>
      <c r="D23" s="52">
        <f t="shared" si="8"/>
        <v>6684</v>
      </c>
      <c r="E23" s="52">
        <f t="shared" si="8"/>
        <v>6480</v>
      </c>
      <c r="F23" s="52">
        <f t="shared" si="8"/>
        <v>7282</v>
      </c>
      <c r="G23" s="52">
        <f t="shared" si="8"/>
        <v>7868</v>
      </c>
      <c r="H23" s="52">
        <f t="shared" si="8"/>
        <v>8481</v>
      </c>
      <c r="I23" s="52">
        <f t="shared" si="8"/>
        <v>9729</v>
      </c>
    </row>
    <row r="24" spans="1:9" x14ac:dyDescent="0.3">
      <c r="A24" s="14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3">
      <c r="A25" s="1" t="s">
        <v>30</v>
      </c>
    </row>
    <row r="26" spans="1:9" x14ac:dyDescent="0.3">
      <c r="A26" s="10" t="s">
        <v>31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11" t="s">
        <v>32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 x14ac:dyDescent="0.3">
      <c r="A28" s="11" t="s">
        <v>33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 x14ac:dyDescent="0.3">
      <c r="A29" s="11" t="s">
        <v>34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 x14ac:dyDescent="0.3">
      <c r="A30" s="11" t="s">
        <v>35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 x14ac:dyDescent="0.3">
      <c r="A31" s="11" t="s">
        <v>36</v>
      </c>
      <c r="B31" s="3">
        <v>1968</v>
      </c>
      <c r="C31" s="3">
        <v>1489</v>
      </c>
      <c r="D31" s="3">
        <v>1150</v>
      </c>
      <c r="E31" s="3">
        <v>1130</v>
      </c>
      <c r="F31" s="3">
        <v>1968</v>
      </c>
      <c r="G31" s="3">
        <v>1653</v>
      </c>
      <c r="H31" s="3">
        <v>1498</v>
      </c>
      <c r="I31" s="3">
        <v>2129</v>
      </c>
    </row>
    <row r="32" spans="1:9" x14ac:dyDescent="0.3">
      <c r="A32" s="4" t="s">
        <v>10</v>
      </c>
      <c r="B32" s="5">
        <f t="shared" ref="B32:I32" si="9">+SUM(B27:B31)</f>
        <v>15587</v>
      </c>
      <c r="C32" s="5">
        <f t="shared" si="9"/>
        <v>15025</v>
      </c>
      <c r="D32" s="5">
        <f t="shared" si="9"/>
        <v>16061</v>
      </c>
      <c r="E32" s="5">
        <f t="shared" si="9"/>
        <v>15134</v>
      </c>
      <c r="F32" s="5">
        <f t="shared" si="9"/>
        <v>16525</v>
      </c>
      <c r="G32" s="5">
        <f t="shared" si="9"/>
        <v>20556</v>
      </c>
      <c r="H32" s="5">
        <f t="shared" si="9"/>
        <v>26291</v>
      </c>
      <c r="I32" s="5">
        <f t="shared" si="9"/>
        <v>28213</v>
      </c>
    </row>
    <row r="33" spans="1:9" x14ac:dyDescent="0.3">
      <c r="A33" s="2" t="s">
        <v>37</v>
      </c>
      <c r="B33" s="3">
        <v>3011</v>
      </c>
      <c r="C33" s="3">
        <v>3520</v>
      </c>
      <c r="D33" s="3">
        <v>3989</v>
      </c>
      <c r="E33" s="3">
        <v>4454</v>
      </c>
      <c r="F33" s="3">
        <v>4744</v>
      </c>
      <c r="G33" s="3">
        <v>4866</v>
      </c>
      <c r="H33" s="3">
        <v>4904</v>
      </c>
      <c r="I33" s="3">
        <v>4791</v>
      </c>
    </row>
    <row r="34" spans="1:9" x14ac:dyDescent="0.3">
      <c r="A34" s="2" t="s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3097</v>
      </c>
      <c r="H34" s="3">
        <v>3113</v>
      </c>
      <c r="I34" s="3">
        <v>2926</v>
      </c>
    </row>
    <row r="35" spans="1:9" x14ac:dyDescent="0.3">
      <c r="A35" s="2" t="s">
        <v>39</v>
      </c>
      <c r="B35" s="3">
        <v>281</v>
      </c>
      <c r="C35" s="3">
        <v>281</v>
      </c>
      <c r="D35" s="3">
        <v>283</v>
      </c>
      <c r="E35" s="3">
        <v>285</v>
      </c>
      <c r="F35" s="3">
        <v>283</v>
      </c>
      <c r="G35" s="3">
        <v>274</v>
      </c>
      <c r="H35" s="3">
        <v>269</v>
      </c>
      <c r="I35" s="3">
        <v>286</v>
      </c>
    </row>
    <row r="36" spans="1:9" x14ac:dyDescent="0.3">
      <c r="A36" s="2" t="s">
        <v>40</v>
      </c>
      <c r="B36" s="3">
        <v>131</v>
      </c>
      <c r="C36" s="3">
        <v>131</v>
      </c>
      <c r="D36" s="3">
        <v>139</v>
      </c>
      <c r="E36" s="3">
        <v>154</v>
      </c>
      <c r="F36" s="3">
        <v>154</v>
      </c>
      <c r="G36" s="3">
        <v>223</v>
      </c>
      <c r="H36" s="3">
        <v>242</v>
      </c>
      <c r="I36" s="3">
        <v>284</v>
      </c>
    </row>
    <row r="37" spans="1:9" x14ac:dyDescent="0.3">
      <c r="A37" s="2" t="s">
        <v>41</v>
      </c>
      <c r="B37" s="3">
        <v>2587</v>
      </c>
      <c r="C37" s="3">
        <v>2439</v>
      </c>
      <c r="D37" s="3">
        <v>2787</v>
      </c>
      <c r="E37" s="3">
        <v>2509</v>
      </c>
      <c r="F37" s="3">
        <v>2011</v>
      </c>
      <c r="G37" s="3">
        <v>2326</v>
      </c>
      <c r="H37" s="3">
        <v>2921</v>
      </c>
      <c r="I37" s="3">
        <v>3821</v>
      </c>
    </row>
    <row r="38" spans="1:9" ht="15" thickBot="1" x14ac:dyDescent="0.35">
      <c r="A38" s="6" t="s">
        <v>42</v>
      </c>
      <c r="B38" s="7">
        <f t="shared" ref="B38:I38" si="10">+SUM(B32:B37)</f>
        <v>21597</v>
      </c>
      <c r="C38" s="7">
        <f t="shared" si="10"/>
        <v>21396</v>
      </c>
      <c r="D38" s="7">
        <f t="shared" si="10"/>
        <v>23259</v>
      </c>
      <c r="E38" s="7">
        <f t="shared" si="10"/>
        <v>22536</v>
      </c>
      <c r="F38" s="7">
        <f t="shared" si="10"/>
        <v>23717</v>
      </c>
      <c r="G38" s="7">
        <f t="shared" si="10"/>
        <v>31342</v>
      </c>
      <c r="H38" s="7">
        <f t="shared" si="10"/>
        <v>37740</v>
      </c>
      <c r="I38" s="7">
        <f t="shared" si="10"/>
        <v>40321</v>
      </c>
    </row>
    <row r="39" spans="1:9" ht="15" thickTop="1" x14ac:dyDescent="0.3">
      <c r="A39" s="1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0" t="s">
        <v>44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11" t="s">
        <v>45</v>
      </c>
      <c r="B41" s="3">
        <v>107</v>
      </c>
      <c r="C41" s="3">
        <v>44</v>
      </c>
      <c r="D41" s="3">
        <v>6</v>
      </c>
      <c r="E41" s="3">
        <v>6</v>
      </c>
      <c r="F41" s="3">
        <v>6</v>
      </c>
      <c r="G41" s="3">
        <v>3</v>
      </c>
      <c r="H41" s="3">
        <v>0</v>
      </c>
      <c r="I41" s="3">
        <v>500</v>
      </c>
    </row>
    <row r="42" spans="1:9" x14ac:dyDescent="0.3">
      <c r="A42" s="11" t="s">
        <v>46</v>
      </c>
      <c r="B42" s="3">
        <v>74</v>
      </c>
      <c r="C42" s="3">
        <v>1</v>
      </c>
      <c r="D42" s="3">
        <v>325</v>
      </c>
      <c r="E42" s="3">
        <v>336</v>
      </c>
      <c r="F42" s="3">
        <v>9</v>
      </c>
      <c r="G42" s="3">
        <v>248</v>
      </c>
      <c r="H42" s="3">
        <v>2</v>
      </c>
      <c r="I42" s="3">
        <v>10</v>
      </c>
    </row>
    <row r="43" spans="1:9" x14ac:dyDescent="0.3">
      <c r="A43" s="11" t="s">
        <v>11</v>
      </c>
      <c r="B43" s="3">
        <v>2131</v>
      </c>
      <c r="C43" s="3">
        <v>2191</v>
      </c>
      <c r="D43" s="3">
        <v>2048</v>
      </c>
      <c r="E43" s="3">
        <v>2279</v>
      </c>
      <c r="F43" s="3">
        <v>2612</v>
      </c>
      <c r="G43" s="3">
        <v>2248</v>
      </c>
      <c r="H43" s="3">
        <v>2836</v>
      </c>
      <c r="I43" s="3">
        <v>3358</v>
      </c>
    </row>
    <row r="44" spans="1:9" x14ac:dyDescent="0.3">
      <c r="A44" s="11" t="s">
        <v>47</v>
      </c>
      <c r="B44" s="3">
        <v>3949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467</v>
      </c>
      <c r="I44" s="3">
        <v>420</v>
      </c>
    </row>
    <row r="45" spans="1:9" x14ac:dyDescent="0.3">
      <c r="A45" s="11" t="s">
        <v>12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6063</v>
      </c>
      <c r="I45" s="3">
        <v>6220</v>
      </c>
    </row>
    <row r="46" spans="1:9" x14ac:dyDescent="0.3">
      <c r="A46" s="11" t="s">
        <v>48</v>
      </c>
      <c r="B46" s="3">
        <v>71</v>
      </c>
      <c r="C46" s="3">
        <v>85</v>
      </c>
      <c r="D46" s="3">
        <v>84</v>
      </c>
      <c r="E46" s="3">
        <v>150</v>
      </c>
      <c r="F46" s="3">
        <v>229</v>
      </c>
      <c r="G46" s="3">
        <v>156</v>
      </c>
      <c r="H46" s="3">
        <v>306</v>
      </c>
      <c r="I46" s="3">
        <v>222</v>
      </c>
    </row>
    <row r="47" spans="1:9" x14ac:dyDescent="0.3">
      <c r="A47" s="4" t="s">
        <v>13</v>
      </c>
      <c r="B47" s="5">
        <f t="shared" ref="B47:I47" si="11">+SUM(B41:B46)</f>
        <v>6332</v>
      </c>
      <c r="C47" s="5">
        <f t="shared" si="11"/>
        <v>5358</v>
      </c>
      <c r="D47" s="5">
        <f t="shared" si="11"/>
        <v>5474</v>
      </c>
      <c r="E47" s="5">
        <f t="shared" si="11"/>
        <v>6040</v>
      </c>
      <c r="F47" s="5">
        <f t="shared" si="11"/>
        <v>7866</v>
      </c>
      <c r="G47" s="5">
        <f t="shared" si="11"/>
        <v>8284</v>
      </c>
      <c r="H47" s="5">
        <f t="shared" si="11"/>
        <v>9674</v>
      </c>
      <c r="I47" s="5">
        <f t="shared" si="11"/>
        <v>10730</v>
      </c>
    </row>
    <row r="48" spans="1:9" x14ac:dyDescent="0.3">
      <c r="A48" s="2" t="s">
        <v>49</v>
      </c>
      <c r="B48" s="3">
        <v>1079</v>
      </c>
      <c r="C48" s="3">
        <v>2010</v>
      </c>
      <c r="D48" s="3">
        <v>3471</v>
      </c>
      <c r="E48" s="3">
        <v>3468</v>
      </c>
      <c r="F48" s="3">
        <v>3464</v>
      </c>
      <c r="G48" s="3">
        <v>9406</v>
      </c>
      <c r="H48" s="3">
        <v>9413</v>
      </c>
      <c r="I48" s="3">
        <v>8920</v>
      </c>
    </row>
    <row r="49" spans="1:11" x14ac:dyDescent="0.3">
      <c r="A49" s="2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2913</v>
      </c>
      <c r="H49" s="3">
        <v>2931</v>
      </c>
      <c r="I49" s="3">
        <v>2777</v>
      </c>
    </row>
    <row r="50" spans="1:11" x14ac:dyDescent="0.3">
      <c r="A50" s="2" t="s">
        <v>51</v>
      </c>
      <c r="B50" s="3">
        <v>1479</v>
      </c>
      <c r="C50" s="3">
        <v>1770</v>
      </c>
      <c r="D50" s="3">
        <v>1907</v>
      </c>
      <c r="E50" s="3">
        <v>3216</v>
      </c>
      <c r="F50" s="3">
        <v>3347</v>
      </c>
      <c r="G50" s="3">
        <v>2684</v>
      </c>
      <c r="H50" s="3">
        <v>2955</v>
      </c>
      <c r="I50" s="3">
        <v>2613</v>
      </c>
    </row>
    <row r="51" spans="1:11" x14ac:dyDescent="0.3">
      <c r="A51" s="2" t="s">
        <v>52</v>
      </c>
      <c r="B51" s="3"/>
      <c r="C51" s="3"/>
      <c r="D51" s="3"/>
      <c r="E51" s="3"/>
      <c r="F51" s="3"/>
      <c r="G51" s="3"/>
      <c r="H51" s="3"/>
      <c r="I51" s="3"/>
    </row>
    <row r="52" spans="1:11" x14ac:dyDescent="0.3">
      <c r="A52" s="11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11" x14ac:dyDescent="0.3">
      <c r="A53" s="10" t="s">
        <v>54</v>
      </c>
      <c r="B53" s="3"/>
      <c r="C53" s="3"/>
      <c r="D53" s="3"/>
      <c r="E53" s="3"/>
      <c r="F53" s="3"/>
      <c r="G53" s="3"/>
      <c r="H53" s="3"/>
      <c r="I53" s="3"/>
    </row>
    <row r="54" spans="1:11" x14ac:dyDescent="0.3">
      <c r="A54" s="56" t="s">
        <v>55</v>
      </c>
      <c r="B54" s="3"/>
      <c r="C54" s="3"/>
      <c r="D54" s="3"/>
      <c r="E54" s="3"/>
      <c r="F54" s="3"/>
      <c r="G54" s="3"/>
      <c r="H54" s="3"/>
      <c r="I54" s="3"/>
    </row>
    <row r="55" spans="1:11" x14ac:dyDescent="0.3">
      <c r="A55" s="17" t="s">
        <v>56</v>
      </c>
      <c r="B55" s="3">
        <v>0</v>
      </c>
      <c r="C55" s="3">
        <v>0</v>
      </c>
      <c r="D55" s="3">
        <v>0</v>
      </c>
      <c r="E55" s="3">
        <v>0</v>
      </c>
      <c r="F55" s="3"/>
      <c r="G55" s="3"/>
      <c r="H55" s="3"/>
      <c r="I55" s="3"/>
    </row>
    <row r="56" spans="1:11" x14ac:dyDescent="0.3">
      <c r="A56" s="17" t="s">
        <v>57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</row>
    <row r="57" spans="1:11" x14ac:dyDescent="0.3">
      <c r="A57" s="17" t="s">
        <v>58</v>
      </c>
      <c r="B57" s="3">
        <v>6773</v>
      </c>
      <c r="C57" s="3">
        <v>7786</v>
      </c>
      <c r="D57" s="3">
        <v>5710</v>
      </c>
      <c r="E57" s="3">
        <v>6384</v>
      </c>
      <c r="F57" s="3">
        <v>7163</v>
      </c>
      <c r="G57" s="3">
        <v>8299</v>
      </c>
      <c r="H57" s="3">
        <v>9965</v>
      </c>
      <c r="I57" s="3">
        <v>11484</v>
      </c>
    </row>
    <row r="58" spans="1:11" x14ac:dyDescent="0.3">
      <c r="A58" s="17" t="s">
        <v>59</v>
      </c>
      <c r="B58" s="3">
        <v>1246</v>
      </c>
      <c r="C58" s="3">
        <v>318</v>
      </c>
      <c r="D58" s="3">
        <v>-213</v>
      </c>
      <c r="E58" s="3">
        <v>-92</v>
      </c>
      <c r="F58" s="3">
        <v>231</v>
      </c>
      <c r="G58" s="3">
        <v>-56</v>
      </c>
      <c r="H58" s="3">
        <v>-380</v>
      </c>
      <c r="I58" s="3">
        <v>318</v>
      </c>
    </row>
    <row r="59" spans="1:11" x14ac:dyDescent="0.3">
      <c r="A59" s="17" t="s">
        <v>60</v>
      </c>
      <c r="B59" s="3">
        <v>4685</v>
      </c>
      <c r="C59" s="3">
        <v>4151</v>
      </c>
      <c r="D59" s="3">
        <v>6907</v>
      </c>
      <c r="E59" s="3">
        <v>3517</v>
      </c>
      <c r="F59" s="3">
        <v>1643</v>
      </c>
      <c r="G59" s="3">
        <v>-191</v>
      </c>
      <c r="H59" s="3">
        <v>3179</v>
      </c>
      <c r="I59" s="3">
        <v>3476</v>
      </c>
    </row>
    <row r="60" spans="1:11" s="12" customFormat="1" x14ac:dyDescent="0.3">
      <c r="A60" s="4" t="s">
        <v>61</v>
      </c>
      <c r="B60" s="5">
        <f t="shared" ref="B60:I60" si="12">+SUM(B55:B59)</f>
        <v>12707</v>
      </c>
      <c r="C60" s="5">
        <f t="shared" si="12"/>
        <v>12258</v>
      </c>
      <c r="D60" s="5">
        <f t="shared" si="12"/>
        <v>12407</v>
      </c>
      <c r="E60" s="5">
        <f t="shared" si="12"/>
        <v>9812</v>
      </c>
      <c r="F60" s="5">
        <f t="shared" si="12"/>
        <v>9040</v>
      </c>
      <c r="G60" s="5">
        <f t="shared" si="12"/>
        <v>8055</v>
      </c>
      <c r="H60" s="5">
        <f t="shared" si="12"/>
        <v>12767</v>
      </c>
      <c r="I60" s="5">
        <f t="shared" si="12"/>
        <v>15281</v>
      </c>
      <c r="J60"/>
      <c r="K60"/>
    </row>
    <row r="61" spans="1:11" ht="15" thickBot="1" x14ac:dyDescent="0.35">
      <c r="A61" s="6" t="s">
        <v>62</v>
      </c>
      <c r="B61" s="7">
        <f t="shared" ref="B61:I61" si="13">+SUM(B47:B52)+B60</f>
        <v>21597</v>
      </c>
      <c r="C61" s="7">
        <f t="shared" si="13"/>
        <v>21396</v>
      </c>
      <c r="D61" s="7">
        <f t="shared" si="13"/>
        <v>23259</v>
      </c>
      <c r="E61" s="7">
        <f t="shared" si="13"/>
        <v>22536</v>
      </c>
      <c r="F61" s="7">
        <f t="shared" si="13"/>
        <v>23717</v>
      </c>
      <c r="G61" s="7">
        <f t="shared" si="13"/>
        <v>31342</v>
      </c>
      <c r="H61" s="7">
        <f t="shared" si="13"/>
        <v>37740</v>
      </c>
      <c r="I61" s="7">
        <f t="shared" si="13"/>
        <v>40321</v>
      </c>
    </row>
    <row r="62" spans="1:11" ht="15" thickTop="1" x14ac:dyDescent="0.3">
      <c r="A62" s="12" t="s">
        <v>3</v>
      </c>
      <c r="B62" s="13">
        <f t="shared" ref="B62:I62" si="14">+B61-B38</f>
        <v>0</v>
      </c>
      <c r="C62" s="13">
        <f t="shared" si="14"/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3">
        <f t="shared" si="14"/>
        <v>0</v>
      </c>
      <c r="I62" s="13">
        <f t="shared" si="14"/>
        <v>0</v>
      </c>
      <c r="J62" s="12"/>
      <c r="K62" s="12"/>
    </row>
    <row r="63" spans="1:11" x14ac:dyDescent="0.3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11" s="1" customFormat="1" x14ac:dyDescent="0.3">
      <c r="A64" t="s">
        <v>15</v>
      </c>
      <c r="B64"/>
      <c r="C64"/>
      <c r="D64"/>
      <c r="E64"/>
      <c r="F64"/>
      <c r="G64"/>
      <c r="H64"/>
      <c r="I64"/>
      <c r="J64"/>
      <c r="K64"/>
    </row>
    <row r="65" spans="1:11" s="1" customFormat="1" x14ac:dyDescent="0.3">
      <c r="A65" s="1" t="s">
        <v>63</v>
      </c>
      <c r="B65"/>
      <c r="C65"/>
      <c r="D65"/>
      <c r="E65"/>
      <c r="F65"/>
      <c r="G65"/>
      <c r="H65"/>
      <c r="I65"/>
      <c r="J65"/>
      <c r="K65"/>
    </row>
    <row r="66" spans="1:11" x14ac:dyDescent="0.3">
      <c r="A66" s="10" t="s">
        <v>64</v>
      </c>
      <c r="B66" s="9">
        <f t="shared" ref="B66:G66" si="15">B12</f>
        <v>3273</v>
      </c>
      <c r="C66" s="9">
        <f t="shared" si="15"/>
        <v>3760</v>
      </c>
      <c r="D66" s="9">
        <f t="shared" si="15"/>
        <v>4240</v>
      </c>
      <c r="E66" s="9">
        <f t="shared" si="15"/>
        <v>1933</v>
      </c>
      <c r="F66" s="9">
        <f t="shared" si="15"/>
        <v>4029</v>
      </c>
      <c r="G66" s="9">
        <f t="shared" si="15"/>
        <v>2539</v>
      </c>
      <c r="H66" s="9">
        <f>+H12</f>
        <v>5727</v>
      </c>
      <c r="I66" s="9">
        <f>+I12</f>
        <v>6046</v>
      </c>
      <c r="J66" s="1"/>
      <c r="K66" s="1"/>
    </row>
    <row r="67" spans="1:11" x14ac:dyDescent="0.3">
      <c r="A67" s="57" t="s">
        <v>65</v>
      </c>
      <c r="B67" s="3"/>
      <c r="C67" s="3"/>
      <c r="D67" s="3"/>
      <c r="E67" s="3"/>
      <c r="F67" s="3"/>
      <c r="G67" s="3"/>
      <c r="H67" s="3"/>
      <c r="I67" s="3"/>
      <c r="J67" s="1"/>
      <c r="K67" s="1"/>
    </row>
    <row r="68" spans="1:11" x14ac:dyDescent="0.3">
      <c r="A68" s="11" t="s">
        <v>66</v>
      </c>
      <c r="B68" s="3">
        <v>606</v>
      </c>
      <c r="C68" s="3">
        <v>649</v>
      </c>
      <c r="D68" s="3">
        <v>706</v>
      </c>
      <c r="E68" s="3">
        <v>747</v>
      </c>
      <c r="F68" s="3">
        <v>705</v>
      </c>
      <c r="G68" s="3">
        <v>721</v>
      </c>
      <c r="H68" s="3">
        <v>744</v>
      </c>
      <c r="I68" s="3">
        <v>717</v>
      </c>
    </row>
    <row r="69" spans="1:11" x14ac:dyDescent="0.3">
      <c r="A69" s="11" t="s">
        <v>67</v>
      </c>
      <c r="B69" s="3">
        <v>-113</v>
      </c>
      <c r="C69" s="3">
        <v>-80</v>
      </c>
      <c r="D69" s="3">
        <v>-273</v>
      </c>
      <c r="E69" s="3">
        <v>647</v>
      </c>
      <c r="F69" s="3">
        <v>34</v>
      </c>
      <c r="G69" s="3">
        <v>-380</v>
      </c>
      <c r="H69" s="3">
        <v>-385</v>
      </c>
      <c r="I69" s="3">
        <v>-650</v>
      </c>
    </row>
    <row r="70" spans="1:11" x14ac:dyDescent="0.3">
      <c r="A70" s="11" t="s">
        <v>68</v>
      </c>
      <c r="B70" s="3">
        <v>191</v>
      </c>
      <c r="C70" s="3">
        <v>236</v>
      </c>
      <c r="D70" s="3">
        <v>215</v>
      </c>
      <c r="E70" s="3">
        <v>218</v>
      </c>
      <c r="F70" s="3">
        <v>325</v>
      </c>
      <c r="G70" s="3">
        <v>429</v>
      </c>
      <c r="H70" s="3">
        <v>611</v>
      </c>
      <c r="I70" s="3">
        <v>638</v>
      </c>
    </row>
    <row r="71" spans="1:11" x14ac:dyDescent="0.3">
      <c r="A71" s="11" t="s">
        <v>69</v>
      </c>
      <c r="B71" s="3">
        <v>43</v>
      </c>
      <c r="C71" s="3">
        <v>13</v>
      </c>
      <c r="D71" s="3">
        <v>10</v>
      </c>
      <c r="E71" s="3">
        <v>27</v>
      </c>
      <c r="F71" s="3">
        <v>15</v>
      </c>
      <c r="G71" s="3">
        <v>398</v>
      </c>
      <c r="H71" s="3">
        <v>53</v>
      </c>
      <c r="I71" s="3">
        <v>123</v>
      </c>
    </row>
    <row r="72" spans="1:11" x14ac:dyDescent="0.3">
      <c r="A72" s="11" t="s">
        <v>70</v>
      </c>
      <c r="B72" s="3">
        <v>424</v>
      </c>
      <c r="C72" s="3">
        <v>98</v>
      </c>
      <c r="D72" s="3">
        <v>-117</v>
      </c>
      <c r="E72" s="3">
        <v>-99</v>
      </c>
      <c r="F72" s="3">
        <v>233</v>
      </c>
      <c r="G72" s="3">
        <v>23</v>
      </c>
      <c r="H72" s="3">
        <v>-138</v>
      </c>
      <c r="I72" s="3">
        <v>-26</v>
      </c>
    </row>
    <row r="73" spans="1:11" x14ac:dyDescent="0.3">
      <c r="A73" s="57" t="s">
        <v>71</v>
      </c>
      <c r="B73" s="3"/>
      <c r="C73" s="3"/>
      <c r="D73" s="3"/>
      <c r="E73" s="3"/>
      <c r="F73" s="3"/>
      <c r="G73" s="3"/>
      <c r="H73" s="3"/>
      <c r="I73" s="3"/>
      <c r="J73" s="52"/>
    </row>
    <row r="74" spans="1:11" x14ac:dyDescent="0.3">
      <c r="A74" s="11" t="s">
        <v>72</v>
      </c>
      <c r="B74" s="3">
        <v>-216</v>
      </c>
      <c r="C74" s="3">
        <v>60</v>
      </c>
      <c r="D74" s="3">
        <v>-426</v>
      </c>
      <c r="E74" s="3">
        <v>187</v>
      </c>
      <c r="F74" s="3">
        <v>-270</v>
      </c>
      <c r="G74" s="3">
        <v>1239</v>
      </c>
      <c r="H74" s="3">
        <v>-1606</v>
      </c>
      <c r="I74" s="3">
        <v>-504</v>
      </c>
    </row>
    <row r="75" spans="1:11" x14ac:dyDescent="0.3">
      <c r="A75" s="11" t="s">
        <v>73</v>
      </c>
      <c r="B75" s="3">
        <v>-621</v>
      </c>
      <c r="C75" s="3">
        <v>-590</v>
      </c>
      <c r="D75" s="3">
        <v>-231</v>
      </c>
      <c r="E75" s="3">
        <v>-255</v>
      </c>
      <c r="F75" s="3">
        <v>-490</v>
      </c>
      <c r="G75" s="3">
        <v>-1854</v>
      </c>
      <c r="H75" s="3">
        <v>507</v>
      </c>
      <c r="I75" s="3">
        <v>-1676</v>
      </c>
    </row>
    <row r="76" spans="1:11" ht="28.8" x14ac:dyDescent="0.3">
      <c r="A76" s="58" t="s">
        <v>97</v>
      </c>
      <c r="B76" s="3">
        <v>-144</v>
      </c>
      <c r="C76" s="3">
        <v>-161</v>
      </c>
      <c r="D76" s="3">
        <v>-120</v>
      </c>
      <c r="E76" s="3">
        <v>35</v>
      </c>
      <c r="F76" s="3">
        <v>-203</v>
      </c>
      <c r="G76" s="3">
        <v>-654</v>
      </c>
      <c r="H76" s="3">
        <v>-182</v>
      </c>
      <c r="I76" s="3">
        <v>-845</v>
      </c>
    </row>
    <row r="77" spans="1:11" ht="28.8" x14ac:dyDescent="0.3">
      <c r="A77" s="58" t="s">
        <v>96</v>
      </c>
      <c r="B77" s="3">
        <v>1237</v>
      </c>
      <c r="C77" s="3">
        <v>-889</v>
      </c>
      <c r="D77" s="3">
        <v>-158</v>
      </c>
      <c r="E77" s="3">
        <v>1515</v>
      </c>
      <c r="F77" s="3">
        <v>1525</v>
      </c>
      <c r="G77" s="3">
        <v>24</v>
      </c>
      <c r="H77" s="3">
        <v>1326</v>
      </c>
      <c r="I77" s="3">
        <v>1365</v>
      </c>
    </row>
    <row r="78" spans="1:11" x14ac:dyDescent="0.3">
      <c r="A78" s="25" t="s">
        <v>74</v>
      </c>
      <c r="B78" s="26">
        <f t="shared" ref="B78:I78" si="16">+SUM(B66:B77)</f>
        <v>4680</v>
      </c>
      <c r="C78" s="26">
        <f t="shared" si="16"/>
        <v>3096</v>
      </c>
      <c r="D78" s="26">
        <f t="shared" si="16"/>
        <v>3846</v>
      </c>
      <c r="E78" s="26">
        <f t="shared" si="16"/>
        <v>4955</v>
      </c>
      <c r="F78" s="26">
        <f t="shared" si="16"/>
        <v>5903</v>
      </c>
      <c r="G78" s="26">
        <f t="shared" si="16"/>
        <v>2485</v>
      </c>
      <c r="H78" s="26">
        <f t="shared" si="16"/>
        <v>6657</v>
      </c>
      <c r="I78" s="26">
        <f t="shared" si="16"/>
        <v>5188</v>
      </c>
    </row>
    <row r="79" spans="1:11" x14ac:dyDescent="0.3">
      <c r="A79" s="1" t="s">
        <v>75</v>
      </c>
      <c r="B79" s="3"/>
      <c r="C79" s="3"/>
      <c r="D79" s="3"/>
      <c r="E79" s="3"/>
      <c r="F79" s="3"/>
      <c r="G79" s="3"/>
      <c r="H79" s="3"/>
      <c r="I79" s="3"/>
    </row>
    <row r="80" spans="1:11" x14ac:dyDescent="0.3">
      <c r="A80" s="2" t="s">
        <v>76</v>
      </c>
      <c r="B80" s="3">
        <v>-4936</v>
      </c>
      <c r="C80" s="3">
        <v>-5367</v>
      </c>
      <c r="D80" s="3">
        <v>-5928</v>
      </c>
      <c r="E80" s="3">
        <v>-4783</v>
      </c>
      <c r="F80" s="3">
        <v>-2937</v>
      </c>
      <c r="G80" s="3">
        <v>-2426</v>
      </c>
      <c r="H80" s="3">
        <v>-9961</v>
      </c>
      <c r="I80" s="3">
        <v>-12913</v>
      </c>
    </row>
    <row r="81" spans="1:9" x14ac:dyDescent="0.3">
      <c r="A81" s="2" t="s">
        <v>77</v>
      </c>
      <c r="B81" s="3">
        <v>3655</v>
      </c>
      <c r="C81" s="3">
        <v>2924</v>
      </c>
      <c r="D81" s="3">
        <v>3623</v>
      </c>
      <c r="E81" s="3">
        <v>3613</v>
      </c>
      <c r="F81" s="3">
        <v>1715</v>
      </c>
      <c r="G81" s="3">
        <v>74</v>
      </c>
      <c r="H81" s="3">
        <v>4236</v>
      </c>
      <c r="I81" s="3">
        <v>8199</v>
      </c>
    </row>
    <row r="82" spans="1:9" x14ac:dyDescent="0.3">
      <c r="A82" s="2" t="s">
        <v>78</v>
      </c>
      <c r="B82" s="3">
        <v>2216</v>
      </c>
      <c r="C82" s="3">
        <v>2386</v>
      </c>
      <c r="D82" s="3">
        <v>2423</v>
      </c>
      <c r="E82" s="3">
        <v>2496</v>
      </c>
      <c r="F82" s="3">
        <v>2072</v>
      </c>
      <c r="G82" s="3">
        <v>2379</v>
      </c>
      <c r="H82" s="3">
        <v>2449</v>
      </c>
      <c r="I82" s="3">
        <v>3967</v>
      </c>
    </row>
    <row r="83" spans="1:9" x14ac:dyDescent="0.3">
      <c r="A83" s="2" t="s">
        <v>189</v>
      </c>
      <c r="B83" s="3">
        <v>-150</v>
      </c>
      <c r="C83" s="3">
        <v>150</v>
      </c>
      <c r="D83" s="3">
        <v>0</v>
      </c>
      <c r="E83" s="3">
        <v>0</v>
      </c>
      <c r="F83" s="3">
        <v>0</v>
      </c>
      <c r="G83" s="3">
        <v>0</v>
      </c>
      <c r="H83" s="3"/>
      <c r="I83" s="3"/>
    </row>
    <row r="84" spans="1:9" x14ac:dyDescent="0.3">
      <c r="A84" s="2" t="s">
        <v>14</v>
      </c>
      <c r="B84" s="3">
        <v>-963</v>
      </c>
      <c r="C84" s="3">
        <v>-1143</v>
      </c>
      <c r="D84" s="3">
        <v>-1105</v>
      </c>
      <c r="E84" s="3">
        <v>-1028</v>
      </c>
      <c r="F84" s="3">
        <v>-1119</v>
      </c>
      <c r="G84" s="3">
        <v>-1086</v>
      </c>
      <c r="H84" s="3">
        <v>-695</v>
      </c>
      <c r="I84" s="3">
        <v>-758</v>
      </c>
    </row>
    <row r="85" spans="1:9" x14ac:dyDescent="0.3">
      <c r="A85" s="2" t="s">
        <v>190</v>
      </c>
      <c r="B85" s="3">
        <v>3</v>
      </c>
      <c r="C85" s="3">
        <v>10</v>
      </c>
      <c r="D85" s="3">
        <v>13</v>
      </c>
      <c r="E85" s="3">
        <v>3</v>
      </c>
      <c r="F85" s="3">
        <v>5</v>
      </c>
      <c r="G85" s="3">
        <v>0</v>
      </c>
      <c r="H85" s="3">
        <v>0</v>
      </c>
      <c r="I85" s="3">
        <v>0</v>
      </c>
    </row>
    <row r="86" spans="1:9" x14ac:dyDescent="0.3">
      <c r="A86" s="2" t="s">
        <v>79</v>
      </c>
      <c r="B86" s="3">
        <v>0</v>
      </c>
      <c r="C86" s="3">
        <v>6</v>
      </c>
      <c r="D86" s="3">
        <v>-34</v>
      </c>
      <c r="E86" s="3">
        <v>-25</v>
      </c>
      <c r="F86" s="3">
        <v>0</v>
      </c>
      <c r="G86" s="3">
        <v>31</v>
      </c>
      <c r="H86" s="3">
        <v>171</v>
      </c>
      <c r="I86" s="3">
        <v>-19</v>
      </c>
    </row>
    <row r="87" spans="1:9" x14ac:dyDescent="0.3">
      <c r="A87" s="27" t="s">
        <v>80</v>
      </c>
      <c r="B87" s="26">
        <f t="shared" ref="B87:I87" si="17">+SUM(B80:B86)</f>
        <v>-175</v>
      </c>
      <c r="C87" s="26">
        <f t="shared" si="17"/>
        <v>-1034</v>
      </c>
      <c r="D87" s="26">
        <f t="shared" si="17"/>
        <v>-1008</v>
      </c>
      <c r="E87" s="26">
        <f t="shared" si="17"/>
        <v>276</v>
      </c>
      <c r="F87" s="26">
        <f t="shared" si="17"/>
        <v>-264</v>
      </c>
      <c r="G87" s="26">
        <f t="shared" si="17"/>
        <v>-1028</v>
      </c>
      <c r="H87" s="26">
        <f t="shared" si="17"/>
        <v>-3800</v>
      </c>
      <c r="I87" s="26">
        <f t="shared" si="17"/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0</v>
      </c>
      <c r="C89" s="3">
        <v>981</v>
      </c>
      <c r="D89" s="3">
        <v>1482</v>
      </c>
      <c r="E89" s="3">
        <v>0</v>
      </c>
      <c r="F89" s="3">
        <v>0</v>
      </c>
      <c r="G89" s="3">
        <v>6134</v>
      </c>
      <c r="H89" s="3">
        <v>0</v>
      </c>
      <c r="I89" s="3">
        <v>0</v>
      </c>
    </row>
    <row r="90" spans="1:9" x14ac:dyDescent="0.3">
      <c r="A90" s="2" t="s">
        <v>83</v>
      </c>
      <c r="B90" s="3">
        <v>-63</v>
      </c>
      <c r="C90" s="3">
        <v>-106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84</v>
      </c>
      <c r="B91" s="3">
        <v>-7</v>
      </c>
      <c r="C91" s="3">
        <v>-67</v>
      </c>
      <c r="D91" s="3">
        <v>-44</v>
      </c>
      <c r="E91" s="3">
        <v>-6</v>
      </c>
      <c r="F91" s="3">
        <v>-6</v>
      </c>
      <c r="G91" s="3">
        <v>0</v>
      </c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-7</v>
      </c>
      <c r="D92" s="3">
        <v>-17</v>
      </c>
      <c r="E92" s="3">
        <v>-23</v>
      </c>
      <c r="F92" s="3">
        <v>-27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191</v>
      </c>
      <c r="B93" s="3">
        <v>218</v>
      </c>
      <c r="C93" s="3">
        <v>507</v>
      </c>
      <c r="D93" s="3">
        <v>489</v>
      </c>
      <c r="E93" s="3">
        <v>733</v>
      </c>
      <c r="F93" s="3">
        <v>700</v>
      </c>
      <c r="G93" s="3">
        <v>0</v>
      </c>
      <c r="H93" s="3">
        <v>0</v>
      </c>
      <c r="I93" s="3">
        <v>0</v>
      </c>
    </row>
    <row r="94" spans="1:9" x14ac:dyDescent="0.3">
      <c r="A94" s="2" t="s">
        <v>16</v>
      </c>
      <c r="B94" s="3">
        <v>-2534</v>
      </c>
      <c r="C94" s="3">
        <v>281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-3238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>
        <v>-19</v>
      </c>
      <c r="C96" s="3">
        <v>-1022</v>
      </c>
      <c r="D96" s="3">
        <v>-29</v>
      </c>
      <c r="E96" s="3">
        <v>-55</v>
      </c>
      <c r="F96" s="3">
        <v>-17</v>
      </c>
      <c r="G96" s="3">
        <v>-58</v>
      </c>
      <c r="H96" s="3">
        <v>-136</v>
      </c>
      <c r="I96" s="3">
        <v>-151</v>
      </c>
    </row>
    <row r="97" spans="1:11" s="12" customFormat="1" x14ac:dyDescent="0.3">
      <c r="A97" s="27" t="s">
        <v>88</v>
      </c>
      <c r="B97" s="26">
        <f t="shared" ref="B97:I97" si="18">+SUM(B89:B96)</f>
        <v>-2790</v>
      </c>
      <c r="C97" s="26">
        <f t="shared" si="18"/>
        <v>-2671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 t="shared" si="18"/>
        <v>-4836</v>
      </c>
      <c r="J97"/>
      <c r="K97"/>
    </row>
    <row r="98" spans="1:11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1" x14ac:dyDescent="0.3">
      <c r="A99" s="27" t="s">
        <v>90</v>
      </c>
      <c r="B99" s="26">
        <f t="shared" ref="B99:I99" si="19">+B78+B87+B97+B98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 t="shared" si="19"/>
        <v>-1315</v>
      </c>
    </row>
    <row r="100" spans="1:11" x14ac:dyDescent="0.3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  <c r="J100" s="12"/>
      <c r="K100" s="12"/>
    </row>
    <row r="101" spans="1:11" ht="15" thickBot="1" x14ac:dyDescent="0.35">
      <c r="A101" s="6" t="s">
        <v>92</v>
      </c>
      <c r="B101" s="7">
        <f t="shared" ref="B101:G101" si="20">SUM(B99:B100)</f>
        <v>3852</v>
      </c>
      <c r="C101" s="7">
        <f t="shared" si="20"/>
        <v>3138</v>
      </c>
      <c r="D101" s="7">
        <f t="shared" si="20"/>
        <v>3808</v>
      </c>
      <c r="E101" s="7">
        <f t="shared" si="20"/>
        <v>4249</v>
      </c>
      <c r="F101" s="7">
        <f t="shared" si="20"/>
        <v>4466</v>
      </c>
      <c r="G101" s="7">
        <f t="shared" si="20"/>
        <v>8348</v>
      </c>
      <c r="H101" s="7">
        <f>+H99+H100</f>
        <v>9889</v>
      </c>
      <c r="I101" s="7">
        <f>+I99+I100</f>
        <v>8574</v>
      </c>
    </row>
    <row r="102" spans="1:11" ht="15" thickTop="1" x14ac:dyDescent="0.3">
      <c r="A102" s="12" t="s">
        <v>19</v>
      </c>
      <c r="B102" s="13">
        <f t="shared" ref="B102:I102" si="21">+B101-B27</f>
        <v>0</v>
      </c>
      <c r="C102" s="13">
        <f t="shared" si="21"/>
        <v>0</v>
      </c>
      <c r="D102" s="13">
        <f t="shared" si="21"/>
        <v>0</v>
      </c>
      <c r="E102" s="13">
        <f t="shared" si="21"/>
        <v>0</v>
      </c>
      <c r="F102" s="13">
        <f t="shared" si="21"/>
        <v>0</v>
      </c>
      <c r="G102" s="13">
        <f t="shared" si="21"/>
        <v>0</v>
      </c>
      <c r="H102" s="13">
        <f t="shared" si="21"/>
        <v>0</v>
      </c>
      <c r="I102" s="13">
        <f t="shared" si="21"/>
        <v>0</v>
      </c>
    </row>
    <row r="103" spans="1:11" x14ac:dyDescent="0.3">
      <c r="A103" s="59" t="s">
        <v>192</v>
      </c>
      <c r="B103" s="13"/>
      <c r="C103" s="13"/>
      <c r="D103" s="13"/>
      <c r="E103" s="13"/>
      <c r="F103" s="13"/>
      <c r="G103" s="13"/>
      <c r="H103" s="13"/>
      <c r="I103" s="13"/>
    </row>
    <row r="104" spans="1:11" x14ac:dyDescent="0.3">
      <c r="A104" s="60" t="s">
        <v>17</v>
      </c>
      <c r="B104" s="13"/>
      <c r="C104" s="13"/>
      <c r="D104" s="13"/>
      <c r="E104" s="13"/>
      <c r="F104" s="13"/>
      <c r="G104" s="13"/>
      <c r="H104" s="13"/>
      <c r="I104" s="13"/>
    </row>
    <row r="105" spans="1:11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11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1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11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1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1" x14ac:dyDescent="0.3">
      <c r="A111" s="28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1" x14ac:dyDescent="0.3">
      <c r="A112" s="10" t="s">
        <v>99</v>
      </c>
      <c r="B112" s="9">
        <f t="shared" ref="B112:I112" si="22">+SUM(B113:B115)</f>
        <v>13740</v>
      </c>
      <c r="C112" s="9">
        <f t="shared" si="22"/>
        <v>14764</v>
      </c>
      <c r="D112" s="9">
        <f t="shared" si="22"/>
        <v>15216</v>
      </c>
      <c r="E112" s="9">
        <f t="shared" si="22"/>
        <v>14855</v>
      </c>
      <c r="F112" s="9">
        <f t="shared" si="22"/>
        <v>15902</v>
      </c>
      <c r="G112" s="9">
        <f t="shared" si="22"/>
        <v>14484</v>
      </c>
      <c r="H112" s="9">
        <f t="shared" si="22"/>
        <v>17179</v>
      </c>
      <c r="I112" s="9">
        <f t="shared" si="22"/>
        <v>18353</v>
      </c>
      <c r="K112" s="61"/>
    </row>
    <row r="113" spans="1:9" x14ac:dyDescent="0.3">
      <c r="A113" s="11" t="s">
        <v>112</v>
      </c>
      <c r="B113" s="3">
        <v>8506</v>
      </c>
      <c r="C113" s="3">
        <v>9299</v>
      </c>
      <c r="D113" s="3">
        <v>9684</v>
      </c>
      <c r="E113" s="3">
        <v>9322</v>
      </c>
      <c r="F113" s="3">
        <v>10045</v>
      </c>
      <c r="G113" s="3">
        <v>9329</v>
      </c>
      <c r="H113" s="3">
        <v>11644</v>
      </c>
      <c r="I113" s="3">
        <v>12228</v>
      </c>
    </row>
    <row r="114" spans="1:9" x14ac:dyDescent="0.3">
      <c r="A114" s="11" t="s">
        <v>113</v>
      </c>
      <c r="B114" s="3">
        <v>4410</v>
      </c>
      <c r="C114" s="3">
        <v>4746</v>
      </c>
      <c r="D114" s="3">
        <v>4886</v>
      </c>
      <c r="E114" s="3">
        <v>4938</v>
      </c>
      <c r="F114" s="3">
        <v>5260</v>
      </c>
      <c r="G114" s="3">
        <v>4639</v>
      </c>
      <c r="H114" s="3">
        <v>5028</v>
      </c>
      <c r="I114" s="3">
        <v>5492</v>
      </c>
    </row>
    <row r="115" spans="1:9" x14ac:dyDescent="0.3">
      <c r="A115" s="11" t="s">
        <v>114</v>
      </c>
      <c r="B115" s="3">
        <v>824</v>
      </c>
      <c r="C115" s="3">
        <v>719</v>
      </c>
      <c r="D115" s="3">
        <v>646</v>
      </c>
      <c r="E115" s="3">
        <v>595</v>
      </c>
      <c r="F115" s="3">
        <v>597</v>
      </c>
      <c r="G115" s="3">
        <v>516</v>
      </c>
      <c r="H115" s="3">
        <v>507</v>
      </c>
      <c r="I115" s="3">
        <v>633</v>
      </c>
    </row>
    <row r="116" spans="1:9" x14ac:dyDescent="0.3">
      <c r="A116" s="10" t="s">
        <v>100</v>
      </c>
      <c r="B116" s="9">
        <f t="shared" ref="B116:I116" si="23">+SUM(B117:B119)</f>
        <v>7126</v>
      </c>
      <c r="C116" s="9">
        <f t="shared" si="23"/>
        <v>7568</v>
      </c>
      <c r="D116" s="9">
        <f t="shared" si="23"/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9">
        <f t="shared" si="23"/>
        <v>11456</v>
      </c>
      <c r="I116" s="9">
        <f t="shared" si="23"/>
        <v>12479</v>
      </c>
    </row>
    <row r="117" spans="1:9" x14ac:dyDescent="0.3">
      <c r="A117" s="11" t="s">
        <v>112</v>
      </c>
      <c r="B117" s="3">
        <v>4703</v>
      </c>
      <c r="C117" s="3">
        <v>5043</v>
      </c>
      <c r="D117" s="3">
        <v>5192</v>
      </c>
      <c r="E117" s="3">
        <v>5875</v>
      </c>
      <c r="F117" s="3">
        <v>6293</v>
      </c>
      <c r="G117" s="3">
        <v>5892</v>
      </c>
      <c r="H117" s="3">
        <v>6970</v>
      </c>
      <c r="I117" s="3">
        <v>7388</v>
      </c>
    </row>
    <row r="118" spans="1:9" x14ac:dyDescent="0.3">
      <c r="A118" s="11" t="s">
        <v>113</v>
      </c>
      <c r="B118" s="3">
        <v>2051</v>
      </c>
      <c r="C118" s="3">
        <v>2149</v>
      </c>
      <c r="D118" s="3">
        <v>2395</v>
      </c>
      <c r="E118" s="3">
        <v>2940</v>
      </c>
      <c r="F118" s="3">
        <v>3087</v>
      </c>
      <c r="G118" s="3">
        <v>3053</v>
      </c>
      <c r="H118" s="3">
        <v>3996</v>
      </c>
      <c r="I118" s="3">
        <v>4527</v>
      </c>
    </row>
    <row r="119" spans="1:9" x14ac:dyDescent="0.3">
      <c r="A119" s="11" t="s">
        <v>114</v>
      </c>
      <c r="B119" s="3">
        <v>372</v>
      </c>
      <c r="C119" s="3">
        <v>376</v>
      </c>
      <c r="D119" s="3">
        <v>383</v>
      </c>
      <c r="E119" s="3">
        <v>427</v>
      </c>
      <c r="F119" s="3">
        <v>432</v>
      </c>
      <c r="G119" s="3">
        <v>402</v>
      </c>
      <c r="H119" s="3">
        <v>490</v>
      </c>
      <c r="I119" s="3">
        <v>564</v>
      </c>
    </row>
    <row r="120" spans="1:9" x14ac:dyDescent="0.3">
      <c r="A120" s="10" t="s">
        <v>101</v>
      </c>
      <c r="B120" s="9">
        <f t="shared" ref="B120:I120" si="24">+SUM(B121:B123)</f>
        <v>3067</v>
      </c>
      <c r="C120" s="9">
        <f t="shared" si="24"/>
        <v>3785</v>
      </c>
      <c r="D120" s="9">
        <f t="shared" si="24"/>
        <v>4237</v>
      </c>
      <c r="E120" s="9">
        <f t="shared" si="24"/>
        <v>5134</v>
      </c>
      <c r="F120" s="9">
        <f t="shared" si="24"/>
        <v>6208</v>
      </c>
      <c r="G120" s="9">
        <f t="shared" si="24"/>
        <v>6679</v>
      </c>
      <c r="H120" s="9">
        <f t="shared" si="24"/>
        <v>8290</v>
      </c>
      <c r="I120" s="9">
        <f t="shared" si="24"/>
        <v>7547</v>
      </c>
    </row>
    <row r="121" spans="1:9" x14ac:dyDescent="0.3">
      <c r="A121" s="11" t="s">
        <v>112</v>
      </c>
      <c r="B121" s="3">
        <v>2016</v>
      </c>
      <c r="C121" s="3">
        <v>2599</v>
      </c>
      <c r="D121" s="3">
        <v>2920</v>
      </c>
      <c r="E121" s="3">
        <v>3496</v>
      </c>
      <c r="F121" s="3">
        <v>4262</v>
      </c>
      <c r="G121" s="3">
        <v>4635</v>
      </c>
      <c r="H121" s="3">
        <v>5748</v>
      </c>
      <c r="I121" s="3">
        <v>5416</v>
      </c>
    </row>
    <row r="122" spans="1:9" x14ac:dyDescent="0.3">
      <c r="A122" s="11" t="s">
        <v>113</v>
      </c>
      <c r="B122" s="3">
        <v>925</v>
      </c>
      <c r="C122" s="3">
        <v>1055</v>
      </c>
      <c r="D122" s="3">
        <v>1188</v>
      </c>
      <c r="E122" s="3">
        <v>1508</v>
      </c>
      <c r="F122" s="3">
        <v>1808</v>
      </c>
      <c r="G122" s="3">
        <v>1896</v>
      </c>
      <c r="H122" s="3">
        <v>2347</v>
      </c>
      <c r="I122" s="3">
        <v>1938</v>
      </c>
    </row>
    <row r="123" spans="1:9" x14ac:dyDescent="0.3">
      <c r="A123" s="11" t="s">
        <v>114</v>
      </c>
      <c r="B123" s="3">
        <v>126</v>
      </c>
      <c r="C123" s="3">
        <v>131</v>
      </c>
      <c r="D123" s="3">
        <v>129</v>
      </c>
      <c r="E123" s="3">
        <v>130</v>
      </c>
      <c r="F123" s="3">
        <v>138</v>
      </c>
      <c r="G123" s="3">
        <v>148</v>
      </c>
      <c r="H123" s="3">
        <v>195</v>
      </c>
      <c r="I123" s="3">
        <v>193</v>
      </c>
    </row>
    <row r="124" spans="1:9" x14ac:dyDescent="0.3">
      <c r="A124" s="10" t="s">
        <v>105</v>
      </c>
      <c r="B124" s="9">
        <f t="shared" ref="B124:I124" si="25">+SUM(B125:B127)</f>
        <v>4653</v>
      </c>
      <c r="C124" s="9">
        <f t="shared" si="25"/>
        <v>4317</v>
      </c>
      <c r="D124" s="9">
        <f t="shared" si="25"/>
        <v>4737</v>
      </c>
      <c r="E124" s="9">
        <f t="shared" si="25"/>
        <v>5166</v>
      </c>
      <c r="F124" s="9">
        <f t="shared" si="25"/>
        <v>5254</v>
      </c>
      <c r="G124" s="9">
        <f t="shared" si="25"/>
        <v>5028</v>
      </c>
      <c r="H124" s="9">
        <f t="shared" si="25"/>
        <v>5343</v>
      </c>
      <c r="I124" s="9">
        <f t="shared" si="25"/>
        <v>5955</v>
      </c>
    </row>
    <row r="125" spans="1:9" x14ac:dyDescent="0.3">
      <c r="A125" s="11" t="s">
        <v>112</v>
      </c>
      <c r="B125" s="3">
        <v>3093</v>
      </c>
      <c r="C125" s="3">
        <v>2930</v>
      </c>
      <c r="D125" s="3">
        <v>3285</v>
      </c>
      <c r="E125" s="3">
        <v>3575</v>
      </c>
      <c r="F125" s="3">
        <v>3622</v>
      </c>
      <c r="G125" s="3">
        <v>3449</v>
      </c>
      <c r="H125" s="3">
        <v>3659</v>
      </c>
      <c r="I125" s="3">
        <v>4111</v>
      </c>
    </row>
    <row r="126" spans="1:9" x14ac:dyDescent="0.3">
      <c r="A126" s="11" t="s">
        <v>113</v>
      </c>
      <c r="B126" s="3">
        <v>1251</v>
      </c>
      <c r="C126" s="3">
        <v>1117</v>
      </c>
      <c r="D126" s="3">
        <v>1185</v>
      </c>
      <c r="E126" s="3">
        <v>1347</v>
      </c>
      <c r="F126" s="3">
        <v>1395</v>
      </c>
      <c r="G126" s="3">
        <v>1365</v>
      </c>
      <c r="H126" s="3">
        <v>1494</v>
      </c>
      <c r="I126" s="3">
        <v>1610</v>
      </c>
    </row>
    <row r="127" spans="1:9" x14ac:dyDescent="0.3">
      <c r="A127" s="11" t="s">
        <v>114</v>
      </c>
      <c r="B127" s="3">
        <v>309</v>
      </c>
      <c r="C127" s="3">
        <v>270</v>
      </c>
      <c r="D127" s="3">
        <v>267</v>
      </c>
      <c r="E127" s="3">
        <v>244</v>
      </c>
      <c r="F127" s="3">
        <v>237</v>
      </c>
      <c r="G127" s="3">
        <v>214</v>
      </c>
      <c r="H127" s="3">
        <v>190</v>
      </c>
      <c r="I127" s="3">
        <v>234</v>
      </c>
    </row>
    <row r="128" spans="1:9" x14ac:dyDescent="0.3">
      <c r="A128" s="10" t="s">
        <v>106</v>
      </c>
      <c r="B128" s="9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11" x14ac:dyDescent="0.3">
      <c r="A129" s="4" t="s">
        <v>102</v>
      </c>
      <c r="B129" s="5">
        <f t="shared" ref="B129:I129" si="26">+B112+B116+B120+B124+B128</f>
        <v>28701</v>
      </c>
      <c r="C129" s="5">
        <f t="shared" si="26"/>
        <v>30507</v>
      </c>
      <c r="D129" s="5">
        <f t="shared" si="26"/>
        <v>32233</v>
      </c>
      <c r="E129" s="5">
        <f t="shared" si="26"/>
        <v>34485</v>
      </c>
      <c r="F129" s="5">
        <f t="shared" si="26"/>
        <v>37218</v>
      </c>
      <c r="G129" s="5">
        <f t="shared" si="26"/>
        <v>35568</v>
      </c>
      <c r="H129" s="5">
        <f t="shared" si="26"/>
        <v>42293</v>
      </c>
      <c r="I129" s="5">
        <f t="shared" si="26"/>
        <v>44436</v>
      </c>
    </row>
    <row r="130" spans="1:11" x14ac:dyDescent="0.3">
      <c r="A130" s="2" t="s">
        <v>103</v>
      </c>
      <c r="B130" s="3">
        <f t="shared" ref="B130:I130" si="27">+SUM(B131:B134)</f>
        <v>1982</v>
      </c>
      <c r="C130" s="3">
        <f t="shared" si="27"/>
        <v>1955</v>
      </c>
      <c r="D130" s="3">
        <f t="shared" si="27"/>
        <v>2042</v>
      </c>
      <c r="E130" s="3">
        <f t="shared" si="27"/>
        <v>1886</v>
      </c>
      <c r="F130" s="3">
        <f t="shared" si="27"/>
        <v>1906</v>
      </c>
      <c r="G130" s="3">
        <f t="shared" si="27"/>
        <v>1846</v>
      </c>
      <c r="H130" s="3">
        <f t="shared" si="27"/>
        <v>2205</v>
      </c>
      <c r="I130" s="3">
        <f t="shared" si="27"/>
        <v>2346</v>
      </c>
    </row>
    <row r="131" spans="1:11" x14ac:dyDescent="0.3">
      <c r="A131" s="11" t="s">
        <v>112</v>
      </c>
      <c r="B131" s="3">
        <v>1737</v>
      </c>
      <c r="C131" s="3">
        <v>1695</v>
      </c>
      <c r="D131" s="3">
        <v>1780</v>
      </c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11" s="12" customFormat="1" x14ac:dyDescent="0.3">
      <c r="A132" s="11" t="s">
        <v>113</v>
      </c>
      <c r="B132" s="3">
        <v>134</v>
      </c>
      <c r="C132" s="3">
        <v>137</v>
      </c>
      <c r="D132" s="3">
        <v>131</v>
      </c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  <c r="J132"/>
      <c r="K132"/>
    </row>
    <row r="133" spans="1:11" x14ac:dyDescent="0.3">
      <c r="A133" s="11" t="s">
        <v>114</v>
      </c>
      <c r="B133" s="3">
        <v>26</v>
      </c>
      <c r="C133" s="3">
        <v>27</v>
      </c>
      <c r="D133" s="3">
        <v>26</v>
      </c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11" x14ac:dyDescent="0.3">
      <c r="A134" s="11" t="s">
        <v>120</v>
      </c>
      <c r="B134" s="3">
        <v>85</v>
      </c>
      <c r="C134" s="3">
        <v>96</v>
      </c>
      <c r="D134" s="3">
        <v>105</v>
      </c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11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11" ht="15" thickBot="1" x14ac:dyDescent="0.35">
      <c r="A136" s="6" t="s">
        <v>104</v>
      </c>
      <c r="B136" s="7">
        <f t="shared" ref="B136:I136" si="28">+B129+B130+B135</f>
        <v>30601</v>
      </c>
      <c r="C136" s="7">
        <f t="shared" si="28"/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 t="shared" si="28"/>
        <v>46710</v>
      </c>
    </row>
    <row r="137" spans="1:11" ht="15" thickTop="1" x14ac:dyDescent="0.3">
      <c r="A137" s="12" t="s">
        <v>110</v>
      </c>
      <c r="B137" s="13">
        <f t="shared" ref="B137:H137" si="29">+B136-B2</f>
        <v>0</v>
      </c>
      <c r="C137" s="13">
        <f t="shared" si="29"/>
        <v>0</v>
      </c>
      <c r="D137" s="13">
        <f t="shared" si="29"/>
        <v>0</v>
      </c>
      <c r="E137" s="13">
        <f t="shared" si="29"/>
        <v>0</v>
      </c>
      <c r="F137" s="13">
        <f t="shared" si="29"/>
        <v>0</v>
      </c>
      <c r="G137" s="13">
        <f t="shared" si="29"/>
        <v>0</v>
      </c>
      <c r="H137" s="13">
        <f t="shared" si="29"/>
        <v>0</v>
      </c>
      <c r="I137" s="12"/>
      <c r="J137" s="12"/>
      <c r="K137" s="12"/>
    </row>
    <row r="138" spans="1:11" x14ac:dyDescent="0.3">
      <c r="A138" s="1" t="s">
        <v>109</v>
      </c>
    </row>
    <row r="139" spans="1:11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11" x14ac:dyDescent="0.3">
      <c r="A140" s="2" t="s">
        <v>100</v>
      </c>
      <c r="B140" s="3">
        <v>1524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11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11" x14ac:dyDescent="0.3">
      <c r="A142" s="2" t="s">
        <v>105</v>
      </c>
      <c r="B142" s="3">
        <v>918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11" s="12" customFormat="1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  <c r="J143"/>
      <c r="K143"/>
    </row>
    <row r="144" spans="1:11" x14ac:dyDescent="0.3">
      <c r="A144" s="4" t="s">
        <v>102</v>
      </c>
      <c r="B144" s="5">
        <f t="shared" ref="B144:I144" si="30">+SUM(B139:B143)</f>
        <v>4813</v>
      </c>
      <c r="C144" s="5">
        <f t="shared" si="30"/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11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11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11" ht="15" thickBot="1" x14ac:dyDescent="0.35">
      <c r="A147" s="6" t="s">
        <v>111</v>
      </c>
      <c r="B147" s="7">
        <f t="shared" ref="B147:I147" si="31">+SUM(B144:B146)</f>
        <v>4233</v>
      </c>
      <c r="C147" s="7">
        <f t="shared" si="31"/>
        <v>4642</v>
      </c>
      <c r="D147" s="7">
        <f t="shared" si="31"/>
        <v>4945</v>
      </c>
      <c r="E147" s="7">
        <f t="shared" si="31"/>
        <v>4379</v>
      </c>
      <c r="F147" s="7">
        <f t="shared" si="31"/>
        <v>4850</v>
      </c>
      <c r="G147" s="7">
        <f t="shared" si="31"/>
        <v>2976</v>
      </c>
      <c r="H147" s="7">
        <f t="shared" si="31"/>
        <v>6923</v>
      </c>
      <c r="I147" s="7">
        <f t="shared" si="31"/>
        <v>6856</v>
      </c>
    </row>
    <row r="148" spans="1:11" ht="15" thickTop="1" x14ac:dyDescent="0.3">
      <c r="A148" s="12" t="s">
        <v>110</v>
      </c>
      <c r="B148" s="13">
        <f t="shared" ref="B148:I148" si="32">+B147-B10-B8</f>
        <v>0</v>
      </c>
      <c r="C148" s="13">
        <f t="shared" si="32"/>
        <v>0</v>
      </c>
      <c r="D148" s="13">
        <f t="shared" si="32"/>
        <v>0</v>
      </c>
      <c r="E148" s="13">
        <f t="shared" si="32"/>
        <v>0</v>
      </c>
      <c r="F148" s="13">
        <f t="shared" si="32"/>
        <v>0</v>
      </c>
      <c r="G148" s="13">
        <f t="shared" si="32"/>
        <v>0</v>
      </c>
      <c r="H148" s="13">
        <f t="shared" si="32"/>
        <v>0</v>
      </c>
      <c r="I148" s="13">
        <f t="shared" si="32"/>
        <v>0</v>
      </c>
      <c r="J148" s="12"/>
      <c r="K148" s="12"/>
    </row>
    <row r="149" spans="1:11" x14ac:dyDescent="0.3">
      <c r="A149" s="1" t="s">
        <v>116</v>
      </c>
    </row>
    <row r="150" spans="1:11" ht="14.4" customHeight="1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11" x14ac:dyDescent="0.3">
      <c r="A151" s="2" t="s">
        <v>100</v>
      </c>
      <c r="B151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11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11" x14ac:dyDescent="0.3">
      <c r="A153" s="2" t="s">
        <v>117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11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11" x14ac:dyDescent="0.3">
      <c r="A155" s="4" t="s">
        <v>118</v>
      </c>
      <c r="B155" s="5">
        <f t="shared" ref="B155:I155" si="33">+SUM(B150:B154)</f>
        <v>2176</v>
      </c>
      <c r="C155" s="5">
        <f t="shared" si="33"/>
        <v>2458</v>
      </c>
      <c r="D155" s="5">
        <f t="shared" si="33"/>
        <v>2626</v>
      </c>
      <c r="E155" s="5">
        <f t="shared" si="33"/>
        <v>2889</v>
      </c>
      <c r="F155" s="5">
        <f t="shared" si="33"/>
        <v>2971</v>
      </c>
      <c r="G155" s="5">
        <f t="shared" si="33"/>
        <v>2870</v>
      </c>
      <c r="H155" s="5">
        <f t="shared" si="33"/>
        <v>2971</v>
      </c>
      <c r="I155" s="5">
        <f t="shared" si="33"/>
        <v>2925</v>
      </c>
    </row>
    <row r="156" spans="1:11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11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11" ht="15" thickBot="1" x14ac:dyDescent="0.35">
      <c r="A158" s="6" t="s">
        <v>119</v>
      </c>
      <c r="B158" s="7">
        <f t="shared" ref="B158:I158" si="34">+SUM(B155:B157)</f>
        <v>3011</v>
      </c>
      <c r="C158" s="7">
        <f t="shared" si="34"/>
        <v>3520</v>
      </c>
      <c r="D158" s="7">
        <f t="shared" si="34"/>
        <v>3989</v>
      </c>
      <c r="E158" s="7">
        <f t="shared" si="34"/>
        <v>4454</v>
      </c>
      <c r="F158" s="7">
        <f t="shared" si="34"/>
        <v>4744</v>
      </c>
      <c r="G158" s="7">
        <f t="shared" si="34"/>
        <v>4866</v>
      </c>
      <c r="H158" s="7">
        <f t="shared" si="34"/>
        <v>4904</v>
      </c>
      <c r="I158" s="7">
        <f t="shared" si="34"/>
        <v>4791</v>
      </c>
    </row>
    <row r="159" spans="1:11" ht="15" thickTop="1" x14ac:dyDescent="0.3">
      <c r="A159" s="12" t="s">
        <v>110</v>
      </c>
      <c r="B159" s="13">
        <f t="shared" ref="B159:I159" si="35">+B158-B33</f>
        <v>0</v>
      </c>
      <c r="C159" s="13">
        <f t="shared" si="35"/>
        <v>0</v>
      </c>
      <c r="D159" s="13">
        <f t="shared" si="35"/>
        <v>0</v>
      </c>
      <c r="E159" s="13">
        <f t="shared" si="35"/>
        <v>0</v>
      </c>
      <c r="F159" s="13">
        <f t="shared" si="35"/>
        <v>0</v>
      </c>
      <c r="G159" s="13">
        <f t="shared" si="35"/>
        <v>0</v>
      </c>
      <c r="H159" s="13">
        <f t="shared" si="35"/>
        <v>0</v>
      </c>
      <c r="I159" s="13">
        <f t="shared" si="35"/>
        <v>0</v>
      </c>
    </row>
    <row r="160" spans="1:11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236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105</v>
      </c>
      <c r="B164" s="3">
        <v>52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24">
        <v>225</v>
      </c>
      <c r="C165" s="24">
        <v>258</v>
      </c>
      <c r="D165" s="24">
        <v>278</v>
      </c>
      <c r="E165" s="24">
        <v>286</v>
      </c>
      <c r="F165" s="24">
        <v>278</v>
      </c>
      <c r="G165" s="24">
        <v>438</v>
      </c>
      <c r="H165" s="24">
        <v>278</v>
      </c>
      <c r="I165" s="24">
        <v>222</v>
      </c>
    </row>
    <row r="166" spans="1:9" x14ac:dyDescent="0.3">
      <c r="A166" s="4" t="s">
        <v>118</v>
      </c>
      <c r="B166" s="3">
        <f t="shared" ref="B166:I166" si="36">+SUM(B161:B165)</f>
        <v>790</v>
      </c>
      <c r="C166" s="3">
        <f t="shared" si="36"/>
        <v>840</v>
      </c>
      <c r="D166" s="3">
        <f t="shared" si="36"/>
        <v>784</v>
      </c>
      <c r="E166" s="3">
        <f t="shared" si="36"/>
        <v>847</v>
      </c>
      <c r="F166" s="3">
        <f t="shared" si="36"/>
        <v>724</v>
      </c>
      <c r="G166" s="3">
        <f t="shared" si="36"/>
        <v>756</v>
      </c>
      <c r="H166" s="3">
        <f t="shared" si="36"/>
        <v>677</v>
      </c>
      <c r="I166" s="3">
        <f t="shared" si="36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f t="shared" ref="B168:I168" si="37">-(SUM(B166:B167)+B84)</f>
        <v>104</v>
      </c>
      <c r="C168" s="3">
        <f t="shared" si="37"/>
        <v>264</v>
      </c>
      <c r="D168" s="3">
        <f t="shared" si="37"/>
        <v>291</v>
      </c>
      <c r="E168" s="3">
        <f t="shared" si="37"/>
        <v>159</v>
      </c>
      <c r="F168" s="3">
        <f t="shared" si="37"/>
        <v>377</v>
      </c>
      <c r="G168" s="3">
        <f t="shared" si="37"/>
        <v>318</v>
      </c>
      <c r="H168" s="3">
        <f t="shared" si="37"/>
        <v>11</v>
      </c>
      <c r="I168" s="3">
        <f t="shared" si="37"/>
        <v>50</v>
      </c>
    </row>
    <row r="169" spans="1:9" ht="15" thickBot="1" x14ac:dyDescent="0.35">
      <c r="A169" s="6" t="s">
        <v>122</v>
      </c>
      <c r="B169" s="62">
        <f t="shared" ref="B169:I169" si="38">+SUM(B166:B168)</f>
        <v>963</v>
      </c>
      <c r="C169" s="62">
        <f t="shared" si="38"/>
        <v>1143</v>
      </c>
      <c r="D169" s="62">
        <f t="shared" si="38"/>
        <v>1105</v>
      </c>
      <c r="E169" s="62">
        <f t="shared" si="38"/>
        <v>1028</v>
      </c>
      <c r="F169" s="62">
        <f t="shared" si="38"/>
        <v>1119</v>
      </c>
      <c r="G169" s="62">
        <f t="shared" si="38"/>
        <v>1086</v>
      </c>
      <c r="H169" s="62">
        <f t="shared" si="38"/>
        <v>695</v>
      </c>
      <c r="I169" s="62">
        <f t="shared" si="38"/>
        <v>758</v>
      </c>
    </row>
    <row r="170" spans="1:9" ht="15" thickTop="1" x14ac:dyDescent="0.3">
      <c r="A170" s="12" t="s">
        <v>110</v>
      </c>
      <c r="B170" s="63">
        <f t="shared" ref="B170:I170" si="39">+B169+B84</f>
        <v>0</v>
      </c>
      <c r="C170" s="63">
        <f t="shared" si="39"/>
        <v>0</v>
      </c>
      <c r="D170" s="63">
        <f t="shared" si="39"/>
        <v>0</v>
      </c>
      <c r="E170" s="63">
        <f t="shared" si="39"/>
        <v>0</v>
      </c>
      <c r="F170" s="63">
        <f t="shared" si="39"/>
        <v>0</v>
      </c>
      <c r="G170" s="63">
        <f t="shared" si="39"/>
        <v>0</v>
      </c>
      <c r="H170" s="63">
        <f t="shared" si="39"/>
        <v>0</v>
      </c>
      <c r="I170" s="63">
        <f t="shared" si="39"/>
        <v>0</v>
      </c>
    </row>
    <row r="171" spans="1:9" x14ac:dyDescent="0.3">
      <c r="A171" s="1" t="s">
        <v>123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87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49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11" x14ac:dyDescent="0.3">
      <c r="A177" s="4" t="s">
        <v>118</v>
      </c>
      <c r="B177" s="5">
        <f t="shared" ref="B177:I177" si="40">+SUM(B172:B176)</f>
        <v>513</v>
      </c>
      <c r="C177" s="5">
        <f t="shared" si="40"/>
        <v>538</v>
      </c>
      <c r="D177" s="5">
        <f t="shared" si="40"/>
        <v>587</v>
      </c>
      <c r="E177" s="5">
        <f t="shared" si="40"/>
        <v>604</v>
      </c>
      <c r="F177" s="5">
        <f t="shared" si="40"/>
        <v>558</v>
      </c>
      <c r="G177" s="5">
        <f t="shared" si="40"/>
        <v>584</v>
      </c>
      <c r="H177" s="5">
        <f t="shared" si="40"/>
        <v>577</v>
      </c>
      <c r="I177" s="5">
        <f t="shared" si="40"/>
        <v>561</v>
      </c>
    </row>
    <row r="178" spans="1:11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11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11" ht="15" thickBot="1" x14ac:dyDescent="0.35">
      <c r="A180" s="6" t="s">
        <v>124</v>
      </c>
      <c r="B180" s="7">
        <f t="shared" ref="B180:I180" si="41">+SUM(B177:B179)</f>
        <v>606</v>
      </c>
      <c r="C180" s="7">
        <f t="shared" si="41"/>
        <v>649</v>
      </c>
      <c r="D180" s="7">
        <f t="shared" si="41"/>
        <v>706</v>
      </c>
      <c r="E180" s="7">
        <f t="shared" si="41"/>
        <v>747</v>
      </c>
      <c r="F180" s="7">
        <f t="shared" si="41"/>
        <v>705</v>
      </c>
      <c r="G180" s="7">
        <f t="shared" si="41"/>
        <v>721</v>
      </c>
      <c r="H180" s="7">
        <f t="shared" si="41"/>
        <v>744</v>
      </c>
      <c r="I180" s="7">
        <f t="shared" si="41"/>
        <v>717</v>
      </c>
    </row>
    <row r="181" spans="1:11" ht="15" thickTop="1" x14ac:dyDescent="0.3">
      <c r="A181" s="12" t="s">
        <v>110</v>
      </c>
      <c r="B181" s="13">
        <f t="shared" ref="B181:I181" si="42">+B180-B68</f>
        <v>0</v>
      </c>
      <c r="C181" s="13">
        <f t="shared" si="42"/>
        <v>0</v>
      </c>
      <c r="D181" s="13">
        <f t="shared" si="42"/>
        <v>0</v>
      </c>
      <c r="E181" s="13">
        <f t="shared" si="42"/>
        <v>0</v>
      </c>
      <c r="F181" s="13">
        <f t="shared" si="42"/>
        <v>0</v>
      </c>
      <c r="G181" s="13">
        <f t="shared" si="42"/>
        <v>0</v>
      </c>
      <c r="H181" s="13">
        <f t="shared" si="42"/>
        <v>0</v>
      </c>
      <c r="I181" s="13">
        <f t="shared" si="42"/>
        <v>0</v>
      </c>
    </row>
    <row r="182" spans="1:11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11" ht="28.8" x14ac:dyDescent="0.3">
      <c r="A183" s="28" t="s">
        <v>193</v>
      </c>
      <c r="J183" s="64" t="s">
        <v>194</v>
      </c>
      <c r="K183" s="65" t="s">
        <v>195</v>
      </c>
    </row>
    <row r="184" spans="1:11" x14ac:dyDescent="0.3">
      <c r="A184" s="33" t="s">
        <v>99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  <c r="J184" s="66">
        <f t="shared" ref="J184:J208" si="43">AVERAGE(B184:I184)</f>
        <v>5.6250000000000001E-2</v>
      </c>
      <c r="K184" s="67">
        <f t="shared" ref="K184:K208" si="44">MEDIAN(B184:I184)</f>
        <v>7.0000000000000007E-2</v>
      </c>
    </row>
    <row r="185" spans="1:11" x14ac:dyDescent="0.3">
      <c r="A185" s="31" t="s">
        <v>112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  <c r="J185" s="66">
        <f t="shared" si="43"/>
        <v>6.8750000000000006E-2</v>
      </c>
      <c r="K185" s="67">
        <f t="shared" si="44"/>
        <v>6.5000000000000002E-2</v>
      </c>
    </row>
    <row r="186" spans="1:11" x14ac:dyDescent="0.3">
      <c r="A186" s="31" t="s">
        <v>113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  <c r="J186" s="66">
        <f t="shared" si="43"/>
        <v>4.5000000000000012E-2</v>
      </c>
      <c r="K186" s="67">
        <f t="shared" si="44"/>
        <v>7.5000000000000011E-2</v>
      </c>
    </row>
    <row r="187" spans="1:11" x14ac:dyDescent="0.3">
      <c r="A187" s="31" t="s">
        <v>114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  <c r="J187" s="66">
        <f t="shared" si="43"/>
        <v>-3.3750000000000002E-2</v>
      </c>
      <c r="K187" s="67">
        <f t="shared" si="44"/>
        <v>-6.5000000000000002E-2</v>
      </c>
    </row>
    <row r="188" spans="1:11" x14ac:dyDescent="0.3">
      <c r="A188" s="33" t="s">
        <v>100</v>
      </c>
      <c r="B188" s="34">
        <v>0.18</v>
      </c>
      <c r="C188" s="34">
        <v>0.16</v>
      </c>
      <c r="D188" s="34">
        <v>0.05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  <c r="J188" s="66">
        <f t="shared" si="43"/>
        <v>0.10875</v>
      </c>
      <c r="K188" s="67">
        <f t="shared" si="44"/>
        <v>0.11499999999999999</v>
      </c>
    </row>
    <row r="189" spans="1:11" x14ac:dyDescent="0.3">
      <c r="A189" s="31" t="s">
        <v>112</v>
      </c>
      <c r="B189" s="30">
        <v>0.24</v>
      </c>
      <c r="C189" s="30">
        <v>0.19</v>
      </c>
      <c r="D189" s="30">
        <v>0.03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  <c r="J189" s="66">
        <f t="shared" si="43"/>
        <v>0.10375</v>
      </c>
      <c r="K189" s="67">
        <f t="shared" si="44"/>
        <v>0.105</v>
      </c>
    </row>
    <row r="190" spans="1:11" x14ac:dyDescent="0.3">
      <c r="A190" s="31" t="s">
        <v>113</v>
      </c>
      <c r="B190" s="30">
        <v>0.1</v>
      </c>
      <c r="C190" s="30">
        <v>0.13</v>
      </c>
      <c r="D190" s="30">
        <v>0.11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  <c r="J190" s="66">
        <f t="shared" si="43"/>
        <v>0.1275</v>
      </c>
      <c r="K190" s="67">
        <f t="shared" si="44"/>
        <v>0.12</v>
      </c>
    </row>
    <row r="191" spans="1:11" x14ac:dyDescent="0.3">
      <c r="A191" s="31" t="s">
        <v>114</v>
      </c>
      <c r="B191" s="30">
        <v>0.15</v>
      </c>
      <c r="C191" s="30">
        <v>-0.06</v>
      </c>
      <c r="D191" s="30">
        <v>0.02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  <c r="J191" s="66">
        <f t="shared" si="43"/>
        <v>6.8750000000000006E-2</v>
      </c>
      <c r="K191" s="67">
        <f t="shared" si="44"/>
        <v>5.5E-2</v>
      </c>
    </row>
    <row r="192" spans="1:11" x14ac:dyDescent="0.3">
      <c r="A192" s="33" t="s">
        <v>101</v>
      </c>
      <c r="B192" s="34">
        <v>0.19</v>
      </c>
      <c r="C192" s="34">
        <v>0.23</v>
      </c>
      <c r="D192" s="34">
        <v>0.12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  <c r="J192" s="66">
        <f t="shared" si="43"/>
        <v>0.14124999999999999</v>
      </c>
      <c r="K192" s="67">
        <f t="shared" si="44"/>
        <v>0.185</v>
      </c>
    </row>
    <row r="193" spans="1:11" x14ac:dyDescent="0.3">
      <c r="A193" s="31" t="s">
        <v>112</v>
      </c>
      <c r="B193" s="30">
        <v>0.28000000000000003</v>
      </c>
      <c r="C193" s="30">
        <v>0.28999999999999998</v>
      </c>
      <c r="D193" s="30">
        <v>0.12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  <c r="J193" s="66">
        <f t="shared" si="43"/>
        <v>0.16375000000000001</v>
      </c>
      <c r="K193" s="67">
        <f t="shared" si="44"/>
        <v>0.17499999999999999</v>
      </c>
    </row>
    <row r="194" spans="1:11" x14ac:dyDescent="0.3">
      <c r="A194" s="31" t="s">
        <v>113</v>
      </c>
      <c r="B194" s="30">
        <v>7.0000000000000007E-2</v>
      </c>
      <c r="C194" s="30">
        <v>0.14000000000000001</v>
      </c>
      <c r="D194" s="30">
        <v>0.13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  <c r="J194" s="66">
        <f t="shared" si="43"/>
        <v>0.10750000000000001</v>
      </c>
      <c r="K194" s="67">
        <f t="shared" si="44"/>
        <v>0.13500000000000001</v>
      </c>
    </row>
    <row r="195" spans="1:11" x14ac:dyDescent="0.3">
      <c r="A195" s="31" t="s">
        <v>114</v>
      </c>
      <c r="B195" s="30">
        <v>0.01</v>
      </c>
      <c r="C195" s="30">
        <v>0.04</v>
      </c>
      <c r="D195" s="30">
        <v>-0.02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  <c r="J195" s="66">
        <f t="shared" si="43"/>
        <v>5.1250000000000004E-2</v>
      </c>
      <c r="K195" s="67">
        <f t="shared" si="44"/>
        <v>2.5000000000000001E-2</v>
      </c>
    </row>
    <row r="196" spans="1:11" x14ac:dyDescent="0.3">
      <c r="A196" s="33" t="s">
        <v>105</v>
      </c>
      <c r="B196" s="34">
        <v>0.09</v>
      </c>
      <c r="C196" s="34">
        <v>0.18</v>
      </c>
      <c r="D196" s="34">
        <v>0.1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  <c r="J196" s="66">
        <f t="shared" si="43"/>
        <v>0.10625</v>
      </c>
      <c r="K196" s="67">
        <f t="shared" si="44"/>
        <v>0.1</v>
      </c>
    </row>
    <row r="197" spans="1:11" x14ac:dyDescent="0.3">
      <c r="A197" s="31" t="s">
        <v>112</v>
      </c>
      <c r="B197" s="30">
        <v>0.16</v>
      </c>
      <c r="C197" s="30">
        <v>0.24</v>
      </c>
      <c r="D197" s="30">
        <v>0.12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  <c r="J197" s="66">
        <f t="shared" si="43"/>
        <v>0.1225</v>
      </c>
      <c r="K197" s="67">
        <f t="shared" si="44"/>
        <v>0.12</v>
      </c>
    </row>
    <row r="198" spans="1:11" x14ac:dyDescent="0.3">
      <c r="A198" s="31" t="s">
        <v>113</v>
      </c>
      <c r="B198" s="30">
        <v>-0.02</v>
      </c>
      <c r="C198" s="30">
        <v>-0.04</v>
      </c>
      <c r="D198" s="30">
        <v>0.06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  <c r="J198" s="66">
        <f t="shared" si="43"/>
        <v>6.8749999999999992E-2</v>
      </c>
      <c r="K198" s="67">
        <f t="shared" si="44"/>
        <v>0.08</v>
      </c>
    </row>
    <row r="199" spans="1:11" x14ac:dyDescent="0.3">
      <c r="A199" s="31" t="s">
        <v>114</v>
      </c>
      <c r="B199" s="30">
        <v>-0.01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  <c r="J199" s="66">
        <f t="shared" si="43"/>
        <v>2.5000000000000005E-2</v>
      </c>
      <c r="K199" s="67">
        <f t="shared" si="44"/>
        <v>-0.01</v>
      </c>
    </row>
    <row r="200" spans="1:11" x14ac:dyDescent="0.3">
      <c r="A200" s="33" t="s">
        <v>106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  <c r="J200" s="66">
        <f t="shared" si="43"/>
        <v>0.23500000000000001</v>
      </c>
      <c r="K200" s="67">
        <f t="shared" si="44"/>
        <v>-9.5000000000000001E-2</v>
      </c>
    </row>
    <row r="201" spans="1:11" x14ac:dyDescent="0.3">
      <c r="A201" s="68" t="s">
        <v>102</v>
      </c>
      <c r="B201" s="36">
        <v>0.14000000000000001</v>
      </c>
      <c r="C201" s="36">
        <v>0.13</v>
      </c>
      <c r="D201" s="36">
        <v>0.08</v>
      </c>
      <c r="E201" s="36">
        <v>0.05</v>
      </c>
      <c r="F201" s="36">
        <v>0.11</v>
      </c>
      <c r="G201" s="36">
        <v>-0.02</v>
      </c>
      <c r="H201" s="36">
        <v>0.17</v>
      </c>
      <c r="I201" s="36">
        <v>0.06</v>
      </c>
      <c r="J201" s="66">
        <f t="shared" si="43"/>
        <v>0.09</v>
      </c>
      <c r="K201" s="67">
        <f t="shared" si="44"/>
        <v>9.5000000000000001E-2</v>
      </c>
    </row>
    <row r="202" spans="1:11" x14ac:dyDescent="0.3">
      <c r="A202" s="33" t="s">
        <v>103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  <c r="J202" s="66">
        <f t="shared" si="43"/>
        <v>5.3749999999999999E-2</v>
      </c>
      <c r="K202" s="67">
        <f t="shared" si="44"/>
        <v>4.4999999999999998E-2</v>
      </c>
    </row>
    <row r="203" spans="1:11" x14ac:dyDescent="0.3">
      <c r="A203" s="31" t="s">
        <v>112</v>
      </c>
      <c r="B203" s="30">
        <v>0.14000000000000001</v>
      </c>
      <c r="C203" s="30">
        <v>0.04</v>
      </c>
      <c r="D203" s="30">
        <v>0.04</v>
      </c>
      <c r="E203" s="30">
        <v>0.05</v>
      </c>
      <c r="F203" s="30">
        <v>0.03</v>
      </c>
      <c r="G203" s="30">
        <v>0.01</v>
      </c>
      <c r="H203" s="30">
        <v>0.17</v>
      </c>
      <c r="I203" s="30">
        <v>0.06</v>
      </c>
      <c r="J203" s="66">
        <f t="shared" si="43"/>
        <v>6.7500000000000004E-2</v>
      </c>
      <c r="K203" s="67">
        <f t="shared" si="44"/>
        <v>4.4999999999999998E-2</v>
      </c>
    </row>
    <row r="204" spans="1:11" x14ac:dyDescent="0.3">
      <c r="A204" s="31" t="s">
        <v>113</v>
      </c>
      <c r="B204" s="30">
        <v>0.02</v>
      </c>
      <c r="C204" s="30">
        <v>-0.02</v>
      </c>
      <c r="D204" s="30">
        <v>0.02</v>
      </c>
      <c r="E204" s="30">
        <v>-0.17</v>
      </c>
      <c r="F204" s="30">
        <v>-0.18</v>
      </c>
      <c r="G204" s="30">
        <v>-0.22</v>
      </c>
      <c r="H204" s="30">
        <v>0.13</v>
      </c>
      <c r="I204" s="30">
        <v>-0.03</v>
      </c>
      <c r="J204" s="66">
        <f t="shared" si="43"/>
        <v>-5.6250000000000008E-2</v>
      </c>
      <c r="K204" s="67">
        <f t="shared" si="44"/>
        <v>-2.5000000000000001E-2</v>
      </c>
    </row>
    <row r="205" spans="1:11" x14ac:dyDescent="0.3">
      <c r="A205" s="31" t="s">
        <v>114</v>
      </c>
      <c r="B205" s="30">
        <v>0.08</v>
      </c>
      <c r="C205" s="30">
        <v>0.06</v>
      </c>
      <c r="D205" s="30">
        <v>0.02</v>
      </c>
      <c r="E205" s="30">
        <v>-0.13</v>
      </c>
      <c r="F205" s="30">
        <v>-0.14000000000000001</v>
      </c>
      <c r="G205" s="30">
        <v>0.08</v>
      </c>
      <c r="H205" s="30">
        <v>0.14000000000000001</v>
      </c>
      <c r="I205" s="30">
        <v>-0.16</v>
      </c>
      <c r="J205" s="66">
        <f t="shared" si="43"/>
        <v>-6.2500000000000003E-3</v>
      </c>
      <c r="K205" s="67">
        <f t="shared" si="44"/>
        <v>3.9999999999999994E-2</v>
      </c>
    </row>
    <row r="206" spans="1:11" x14ac:dyDescent="0.3">
      <c r="A206" s="31" t="s">
        <v>120</v>
      </c>
      <c r="B206" s="30">
        <v>0.08</v>
      </c>
      <c r="C206" s="30">
        <v>-0.15</v>
      </c>
      <c r="D206" s="30">
        <v>-0.05</v>
      </c>
      <c r="E206" s="30">
        <v>0.04</v>
      </c>
      <c r="F206" s="30">
        <v>0.03</v>
      </c>
      <c r="G206" s="30">
        <v>-0.14000000000000001</v>
      </c>
      <c r="H206" s="30">
        <v>-0.01</v>
      </c>
      <c r="I206" s="30">
        <v>0.42</v>
      </c>
      <c r="J206" s="66">
        <f t="shared" si="43"/>
        <v>2.7499999999999997E-2</v>
      </c>
      <c r="K206" s="67">
        <f t="shared" si="44"/>
        <v>0.01</v>
      </c>
    </row>
    <row r="207" spans="1:11" x14ac:dyDescent="0.3">
      <c r="A207" s="29" t="s">
        <v>107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66">
        <f t="shared" si="43"/>
        <v>0</v>
      </c>
      <c r="K207" s="67">
        <f t="shared" si="44"/>
        <v>0</v>
      </c>
    </row>
    <row r="208" spans="1:11" ht="15" thickBot="1" x14ac:dyDescent="0.35">
      <c r="A208" s="32" t="s">
        <v>104</v>
      </c>
      <c r="B208" s="35">
        <v>0.14000000000000001</v>
      </c>
      <c r="C208" s="35">
        <v>0.12</v>
      </c>
      <c r="D208" s="35">
        <v>0.08</v>
      </c>
      <c r="E208" s="35">
        <v>0.04</v>
      </c>
      <c r="F208" s="35">
        <v>0.11</v>
      </c>
      <c r="G208" s="35">
        <v>-0.02</v>
      </c>
      <c r="H208" s="35">
        <v>0.17</v>
      </c>
      <c r="I208" s="35">
        <v>0.06</v>
      </c>
      <c r="J208" s="66">
        <f t="shared" si="43"/>
        <v>8.7499999999999994E-2</v>
      </c>
      <c r="K208" s="67">
        <f t="shared" si="44"/>
        <v>9.5000000000000001E-2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81"/>
  <sheetViews>
    <sheetView topLeftCell="B1" zoomScale="80" zoomScaleNormal="80" workbookViewId="0">
      <selection activeCell="Q81" sqref="Q81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4.6640625" bestFit="1" customWidth="1"/>
    <col min="17" max="17" width="32.21875" customWidth="1"/>
    <col min="18" max="18" width="5.109375" customWidth="1"/>
  </cols>
  <sheetData>
    <row r="1" spans="1:17" ht="60" customHeight="1" x14ac:dyDescent="0.4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69">
        <f>+I1+1</f>
        <v>2023</v>
      </c>
      <c r="K1" s="70">
        <f>+J1+1</f>
        <v>2024</v>
      </c>
      <c r="L1" s="70">
        <f>+K1+1</f>
        <v>2025</v>
      </c>
      <c r="M1" s="70">
        <f>+L1+1</f>
        <v>2026</v>
      </c>
      <c r="N1" s="70">
        <f>+M1+1</f>
        <v>2027</v>
      </c>
      <c r="O1" s="71" t="s">
        <v>196</v>
      </c>
      <c r="P1" s="72" t="s">
        <v>197</v>
      </c>
      <c r="Q1" s="165" t="s">
        <v>228</v>
      </c>
    </row>
    <row r="2" spans="1:17" x14ac:dyDescent="0.3">
      <c r="A2" s="73" t="s">
        <v>126</v>
      </c>
      <c r="B2" s="73"/>
      <c r="C2" s="73"/>
      <c r="D2" s="73"/>
      <c r="E2" s="73"/>
      <c r="F2" s="73"/>
      <c r="G2" s="73"/>
      <c r="H2" s="73"/>
      <c r="I2" s="73"/>
      <c r="J2" s="74"/>
      <c r="K2" s="75"/>
      <c r="L2" s="75"/>
      <c r="M2" s="75"/>
      <c r="N2" s="75"/>
      <c r="O2" s="76" t="s">
        <v>198</v>
      </c>
      <c r="P2" s="77"/>
      <c r="Q2" s="123" t="s">
        <v>231</v>
      </c>
    </row>
    <row r="3" spans="1:17" x14ac:dyDescent="0.3">
      <c r="A3" s="39" t="s">
        <v>137</v>
      </c>
      <c r="B3" s="9">
        <f t="shared" ref="B3:I3" si="1">SUM(B18,B45,B72,B99,B126,B153,B168)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78">
        <f>SUM(J18,J45,J72,J99,J126,J153,J168)</f>
        <v>48274.238941302261</v>
      </c>
      <c r="K3" s="166">
        <f t="shared" ref="K3:N3" si="2">SUM(K18,K45,K72,K99,K126,K153,K168)</f>
        <v>51663.013343476596</v>
      </c>
      <c r="L3" s="166">
        <f t="shared" si="2"/>
        <v>55357.020675910935</v>
      </c>
      <c r="M3" s="166">
        <f t="shared" si="2"/>
        <v>59394.008083974339</v>
      </c>
      <c r="N3" s="166">
        <f t="shared" si="2"/>
        <v>63814.809831132094</v>
      </c>
      <c r="O3" s="167"/>
      <c r="P3" s="80"/>
      <c r="Q3" s="123" t="s">
        <v>232</v>
      </c>
    </row>
    <row r="4" spans="1:17" x14ac:dyDescent="0.3">
      <c r="A4" s="40" t="s">
        <v>127</v>
      </c>
      <c r="B4" s="81" t="str">
        <f t="shared" ref="B4:N4" si="3">+IFERROR(B3/A3-1,"nm")</f>
        <v>nm</v>
      </c>
      <c r="C4" s="81">
        <f t="shared" si="3"/>
        <v>5.8004640371229765E-2</v>
      </c>
      <c r="D4" s="81">
        <f t="shared" si="3"/>
        <v>6.0971089696071123E-2</v>
      </c>
      <c r="E4" s="81">
        <f t="shared" si="3"/>
        <v>5.95924308588065E-2</v>
      </c>
      <c r="F4" s="81">
        <f t="shared" si="3"/>
        <v>7.4731433909388079E-2</v>
      </c>
      <c r="G4" s="81">
        <f t="shared" si="3"/>
        <v>-4.3817266150267153E-2</v>
      </c>
      <c r="H4" s="81">
        <f t="shared" si="3"/>
        <v>0.19076009945726269</v>
      </c>
      <c r="I4" s="81">
        <f t="shared" si="3"/>
        <v>4.8767344739323759E-2</v>
      </c>
      <c r="J4" s="82">
        <f t="shared" si="3"/>
        <v>3.3488309597565102E-2</v>
      </c>
      <c r="K4" s="83">
        <f t="shared" si="3"/>
        <v>7.0198401393646526E-2</v>
      </c>
      <c r="L4" s="83">
        <f t="shared" si="3"/>
        <v>7.1501971978968459E-2</v>
      </c>
      <c r="M4" s="83">
        <f t="shared" si="3"/>
        <v>7.2926385104755687E-2</v>
      </c>
      <c r="N4" s="84">
        <f t="shared" si="3"/>
        <v>7.4431780069588838E-2</v>
      </c>
      <c r="O4" s="67">
        <f>AVERAGE(C4:I4)</f>
        <v>6.4144253268830678E-2</v>
      </c>
      <c r="P4" s="67">
        <f>AVERAGE(C4:F4,I4)</f>
        <v>6.0413387914963847E-2</v>
      </c>
      <c r="Q4" s="123" t="s">
        <v>233</v>
      </c>
    </row>
    <row r="5" spans="1:17" x14ac:dyDescent="0.3">
      <c r="A5" s="39" t="s">
        <v>128</v>
      </c>
      <c r="B5" s="9">
        <f t="shared" ref="B5:I5" si="4">SUM(B32,B59,B86,B113,B140,B155,B170)</f>
        <v>4839</v>
      </c>
      <c r="C5" s="9">
        <f t="shared" si="4"/>
        <v>5291</v>
      </c>
      <c r="D5" s="9">
        <f t="shared" si="4"/>
        <v>5651</v>
      </c>
      <c r="E5" s="9">
        <f t="shared" si="4"/>
        <v>5126</v>
      </c>
      <c r="F5" s="9">
        <f t="shared" si="4"/>
        <v>5555</v>
      </c>
      <c r="G5" s="9">
        <f t="shared" si="4"/>
        <v>3697</v>
      </c>
      <c r="H5" s="9">
        <f t="shared" si="4"/>
        <v>7667</v>
      </c>
      <c r="I5" s="9">
        <f t="shared" si="4"/>
        <v>7573</v>
      </c>
      <c r="J5" s="78">
        <f>I5*(1+$P$6)</f>
        <v>7785.0054333082035</v>
      </c>
      <c r="K5" s="44">
        <f>J5*(1+$P$6)</f>
        <v>8002.9459390780739</v>
      </c>
      <c r="L5" s="44">
        <f>K5*(1+$P$6)</f>
        <v>8226.9876691132486</v>
      </c>
      <c r="M5" s="44">
        <f>L5*(1+$P$6)</f>
        <v>8457.3014266217142</v>
      </c>
      <c r="N5" s="79">
        <f>M5*(1+$P$6)</f>
        <v>8694.0627964314372</v>
      </c>
      <c r="O5" s="67"/>
      <c r="P5" s="67"/>
      <c r="Q5" s="123" t="s">
        <v>234</v>
      </c>
    </row>
    <row r="6" spans="1:17" x14ac:dyDescent="0.3">
      <c r="A6" s="40" t="s">
        <v>127</v>
      </c>
      <c r="B6" s="81" t="str">
        <f t="shared" ref="B6:N6" si="5">+IFERROR(B5/A5-1,"nm")</f>
        <v>nm</v>
      </c>
      <c r="C6" s="81">
        <f t="shared" si="5"/>
        <v>9.3407728869601137E-2</v>
      </c>
      <c r="D6" s="81">
        <f t="shared" si="5"/>
        <v>6.8040068040068125E-2</v>
      </c>
      <c r="E6" s="81">
        <f t="shared" si="5"/>
        <v>-9.2903910812245583E-2</v>
      </c>
      <c r="F6" s="81">
        <f t="shared" si="5"/>
        <v>8.3690987124463545E-2</v>
      </c>
      <c r="G6" s="81">
        <f t="shared" si="5"/>
        <v>-0.3344734473447345</v>
      </c>
      <c r="H6" s="81">
        <f t="shared" si="5"/>
        <v>1.0738436570192049</v>
      </c>
      <c r="I6" s="81">
        <f t="shared" si="5"/>
        <v>-1.2260336507108338E-2</v>
      </c>
      <c r="J6" s="82">
        <f t="shared" si="5"/>
        <v>2.7994907342955733E-2</v>
      </c>
      <c r="K6" s="83">
        <f t="shared" si="5"/>
        <v>2.7994907342955733E-2</v>
      </c>
      <c r="L6" s="83">
        <f t="shared" si="5"/>
        <v>2.7994907342955733E-2</v>
      </c>
      <c r="M6" s="83">
        <f t="shared" si="5"/>
        <v>2.7994907342955733E-2</v>
      </c>
      <c r="N6" s="84">
        <f t="shared" si="5"/>
        <v>2.7994907342955733E-2</v>
      </c>
      <c r="O6" s="67">
        <f>AVERAGE(C6:I6)</f>
        <v>0.12562067805560703</v>
      </c>
      <c r="P6" s="67">
        <f>AVERAGE(C6:F6,I6)</f>
        <v>2.7994907342955778E-2</v>
      </c>
      <c r="Q6" s="123" t="s">
        <v>235</v>
      </c>
    </row>
    <row r="7" spans="1:17" x14ac:dyDescent="0.3">
      <c r="A7" s="40" t="s">
        <v>129</v>
      </c>
      <c r="B7" s="85">
        <f t="shared" ref="B7:N7" si="6">B5/B3</f>
        <v>0.15813208718669325</v>
      </c>
      <c r="C7" s="85">
        <f t="shared" si="6"/>
        <v>0.16342352359772672</v>
      </c>
      <c r="D7" s="85">
        <f t="shared" si="6"/>
        <v>0.16451237263464338</v>
      </c>
      <c r="E7" s="85">
        <f t="shared" si="6"/>
        <v>0.14083578316894249</v>
      </c>
      <c r="F7" s="85">
        <f t="shared" si="6"/>
        <v>0.14200986783240024</v>
      </c>
      <c r="G7" s="85">
        <f t="shared" si="6"/>
        <v>9.8842338849824879E-2</v>
      </c>
      <c r="H7" s="85">
        <f t="shared" si="6"/>
        <v>0.17214513449189456</v>
      </c>
      <c r="I7" s="85">
        <f t="shared" si="6"/>
        <v>0.16212802397773496</v>
      </c>
      <c r="J7" s="86">
        <f t="shared" si="6"/>
        <v>0.1612662489153722</v>
      </c>
      <c r="K7" s="87">
        <f t="shared" si="6"/>
        <v>0.154906681224172</v>
      </c>
      <c r="L7" s="87">
        <f t="shared" si="6"/>
        <v>0.14861687946102364</v>
      </c>
      <c r="M7" s="87">
        <f t="shared" si="6"/>
        <v>0.14239317566621099</v>
      </c>
      <c r="N7" s="88">
        <f t="shared" si="6"/>
        <v>0.13623895173295703</v>
      </c>
      <c r="O7" s="67">
        <f>AVERAGE(C7:I7)</f>
        <v>0.14912814922188103</v>
      </c>
      <c r="P7" s="67">
        <f>AVERAGE(C7:F7,I7)</f>
        <v>0.15458191424228956</v>
      </c>
    </row>
    <row r="8" spans="1:17" x14ac:dyDescent="0.3">
      <c r="A8" s="39" t="s">
        <v>130</v>
      </c>
      <c r="B8" s="44">
        <f t="shared" ref="B8:I8" si="7">SUM(B35,B62,B89,B116,B143,B158,B173)</f>
        <v>606</v>
      </c>
      <c r="C8" s="44">
        <f t="shared" si="7"/>
        <v>649</v>
      </c>
      <c r="D8" s="44">
        <f t="shared" si="7"/>
        <v>706</v>
      </c>
      <c r="E8" s="44">
        <f t="shared" si="7"/>
        <v>747</v>
      </c>
      <c r="F8" s="44">
        <f t="shared" si="7"/>
        <v>705</v>
      </c>
      <c r="G8" s="44">
        <f t="shared" si="7"/>
        <v>721</v>
      </c>
      <c r="H8" s="44">
        <f t="shared" si="7"/>
        <v>744</v>
      </c>
      <c r="I8" s="44">
        <f t="shared" si="7"/>
        <v>717</v>
      </c>
      <c r="J8" s="89">
        <f>I8*(1+$P$9)</f>
        <v>734.83077970856084</v>
      </c>
      <c r="K8" s="90">
        <f>J8*(1+$P$9)</f>
        <v>753.10498578394902</v>
      </c>
      <c r="L8" s="90">
        <f>K8*(1+$P$9)</f>
        <v>771.83364561509597</v>
      </c>
      <c r="M8" s="90">
        <f>L8*(1+$P$9)</f>
        <v>791.02806082655786</v>
      </c>
      <c r="N8" s="91">
        <f>M8*(1+$P$9)</f>
        <v>810.69981409836873</v>
      </c>
      <c r="O8" s="67"/>
      <c r="P8" s="67"/>
    </row>
    <row r="9" spans="1:17" x14ac:dyDescent="0.3">
      <c r="A9" s="40" t="s">
        <v>127</v>
      </c>
      <c r="B9" s="81" t="str">
        <f t="shared" ref="B9:N9" si="8">+IFERROR(B8/A8-1,"nm")</f>
        <v>nm</v>
      </c>
      <c r="C9" s="81">
        <f t="shared" si="8"/>
        <v>7.0957095709570872E-2</v>
      </c>
      <c r="D9" s="81">
        <f t="shared" si="8"/>
        <v>8.7827426810477727E-2</v>
      </c>
      <c r="E9" s="81">
        <f t="shared" si="8"/>
        <v>5.8073654390934815E-2</v>
      </c>
      <c r="F9" s="81">
        <f t="shared" si="8"/>
        <v>-5.6224899598393607E-2</v>
      </c>
      <c r="G9" s="81">
        <f t="shared" si="8"/>
        <v>2.2695035460992941E-2</v>
      </c>
      <c r="H9" s="81">
        <f t="shared" si="8"/>
        <v>3.1900138696255187E-2</v>
      </c>
      <c r="I9" s="81">
        <f t="shared" si="8"/>
        <v>-3.6290322580645129E-2</v>
      </c>
      <c r="J9" s="82">
        <f t="shared" si="8"/>
        <v>2.4868590946388824E-2</v>
      </c>
      <c r="K9" s="83">
        <f t="shared" si="8"/>
        <v>2.4868590946388824E-2</v>
      </c>
      <c r="L9" s="83">
        <f t="shared" si="8"/>
        <v>2.4868590946388824E-2</v>
      </c>
      <c r="M9" s="83">
        <f t="shared" si="8"/>
        <v>2.4868590946388824E-2</v>
      </c>
      <c r="N9" s="84">
        <f t="shared" si="8"/>
        <v>2.4868590946388824E-2</v>
      </c>
      <c r="O9" s="67">
        <f>AVERAGE(C9:I9)</f>
        <v>2.5562589841313259E-2</v>
      </c>
      <c r="P9" s="67">
        <f>AVERAGE(C9:F9,I9)</f>
        <v>2.4868590946388935E-2</v>
      </c>
    </row>
    <row r="10" spans="1:17" x14ac:dyDescent="0.3">
      <c r="A10" s="40" t="s">
        <v>131</v>
      </c>
      <c r="B10" s="85">
        <f t="shared" ref="B10:N10" si="9">B8/B3</f>
        <v>1.9803274402797295E-2</v>
      </c>
      <c r="C10" s="85">
        <f t="shared" si="9"/>
        <v>2.0045712873733631E-2</v>
      </c>
      <c r="D10" s="85">
        <f t="shared" si="9"/>
        <v>2.0553129548762736E-2</v>
      </c>
      <c r="E10" s="85">
        <f t="shared" si="9"/>
        <v>2.0523669533203285E-2</v>
      </c>
      <c r="F10" s="85">
        <f t="shared" si="9"/>
        <v>1.8022854513382928E-2</v>
      </c>
      <c r="G10" s="85">
        <f t="shared" si="9"/>
        <v>1.9276528620698875E-2</v>
      </c>
      <c r="H10" s="85">
        <f t="shared" si="9"/>
        <v>1.6704836319547355E-2</v>
      </c>
      <c r="I10" s="85">
        <f t="shared" si="9"/>
        <v>1.5350032113037893E-2</v>
      </c>
      <c r="J10" s="86">
        <f t="shared" si="9"/>
        <v>1.5222006515774556E-2</v>
      </c>
      <c r="K10" s="87">
        <f t="shared" si="9"/>
        <v>1.4577256281529741E-2</v>
      </c>
      <c r="L10" s="87">
        <f t="shared" si="9"/>
        <v>1.3942832113993551E-2</v>
      </c>
      <c r="M10" s="87">
        <f t="shared" si="9"/>
        <v>1.3318314192707136E-2</v>
      </c>
      <c r="N10" s="88">
        <f t="shared" si="9"/>
        <v>1.2703944683744374E-2</v>
      </c>
      <c r="O10" s="67">
        <f>AVERAGE(C10:I10)</f>
        <v>1.8639537646052386E-2</v>
      </c>
      <c r="P10" s="67">
        <f>AVERAGE(C10:F10,I10)</f>
        <v>1.8899079716424093E-2</v>
      </c>
    </row>
    <row r="11" spans="1:17" x14ac:dyDescent="0.3">
      <c r="A11" s="39" t="s">
        <v>132</v>
      </c>
      <c r="B11" s="9">
        <f t="shared" ref="B11:I11" si="10">SUM(B38,B65,B92,B119,B146,B161,B176)</f>
        <v>4233</v>
      </c>
      <c r="C11" s="9">
        <f t="shared" si="10"/>
        <v>4642</v>
      </c>
      <c r="D11" s="9">
        <f t="shared" si="10"/>
        <v>4945</v>
      </c>
      <c r="E11" s="9">
        <f t="shared" si="10"/>
        <v>4379</v>
      </c>
      <c r="F11" s="9">
        <f t="shared" si="10"/>
        <v>4850</v>
      </c>
      <c r="G11" s="9">
        <f t="shared" si="10"/>
        <v>2976</v>
      </c>
      <c r="H11" s="9">
        <f t="shared" si="10"/>
        <v>6923</v>
      </c>
      <c r="I11" s="9">
        <f t="shared" si="10"/>
        <v>6856</v>
      </c>
      <c r="J11" s="78">
        <f>I11*(1+$P$12)</f>
        <v>7055.2589977573043</v>
      </c>
      <c r="K11" s="44">
        <f>J11*(1+$P$12)</f>
        <v>7260.3091489841609</v>
      </c>
      <c r="L11" s="44">
        <f>K11*(1+$P$12)</f>
        <v>7471.3187645668295</v>
      </c>
      <c r="M11" s="44">
        <f>L11*(1+$P$12)</f>
        <v>7688.4610470862181</v>
      </c>
      <c r="N11" s="79">
        <f>M11*(1+$P$12)</f>
        <v>7911.9142329873966</v>
      </c>
      <c r="O11" s="67"/>
      <c r="P11" s="67"/>
    </row>
    <row r="12" spans="1:17" x14ac:dyDescent="0.3">
      <c r="A12" s="40" t="s">
        <v>127</v>
      </c>
      <c r="B12" s="81" t="str">
        <f t="shared" ref="B12:N12" si="11">+IFERROR(B11/A11-1,"nm")</f>
        <v>nm</v>
      </c>
      <c r="C12" s="81">
        <f t="shared" si="11"/>
        <v>9.6621781242617555E-2</v>
      </c>
      <c r="D12" s="81">
        <f t="shared" si="11"/>
        <v>6.5273588970271357E-2</v>
      </c>
      <c r="E12" s="81">
        <f t="shared" si="11"/>
        <v>-0.11445904954499497</v>
      </c>
      <c r="F12" s="81">
        <f t="shared" si="11"/>
        <v>0.10755880337976698</v>
      </c>
      <c r="G12" s="81">
        <f t="shared" si="11"/>
        <v>-0.38639175257731961</v>
      </c>
      <c r="H12" s="81">
        <f t="shared" si="11"/>
        <v>1.32627688172043</v>
      </c>
      <c r="I12" s="81">
        <f t="shared" si="11"/>
        <v>-9.67788530983682E-3</v>
      </c>
      <c r="J12" s="82">
        <f t="shared" si="11"/>
        <v>2.9063447747564863E-2</v>
      </c>
      <c r="K12" s="83">
        <f t="shared" si="11"/>
        <v>2.9063447747564863E-2</v>
      </c>
      <c r="L12" s="83">
        <f t="shared" si="11"/>
        <v>2.9063447747564863E-2</v>
      </c>
      <c r="M12" s="83">
        <f t="shared" si="11"/>
        <v>2.9063447747564863E-2</v>
      </c>
      <c r="N12" s="84">
        <f t="shared" si="11"/>
        <v>2.9063447747564863E-2</v>
      </c>
      <c r="O12" s="67">
        <f>AVERAGE(C12:I12)</f>
        <v>0.15502890969727634</v>
      </c>
      <c r="P12" s="67">
        <f>AVERAGE(C12:F12,I12)</f>
        <v>2.9063447747564818E-2</v>
      </c>
    </row>
    <row r="13" spans="1:17" x14ac:dyDescent="0.3">
      <c r="A13" s="40" t="s">
        <v>129</v>
      </c>
      <c r="B13" s="85">
        <f t="shared" ref="B13:N13" si="12">B11/B3</f>
        <v>0.13832881278389594</v>
      </c>
      <c r="C13" s="85">
        <f t="shared" si="12"/>
        <v>0.14337781072399308</v>
      </c>
      <c r="D13" s="85">
        <f t="shared" si="12"/>
        <v>0.14395924308588065</v>
      </c>
      <c r="E13" s="85">
        <f t="shared" si="12"/>
        <v>0.12031211363573921</v>
      </c>
      <c r="F13" s="85">
        <f t="shared" si="12"/>
        <v>0.12398701331901731</v>
      </c>
      <c r="G13" s="85">
        <f t="shared" si="12"/>
        <v>7.9565810229126011E-2</v>
      </c>
      <c r="H13" s="85">
        <f t="shared" si="12"/>
        <v>0.1554402981723472</v>
      </c>
      <c r="I13" s="85">
        <f t="shared" si="12"/>
        <v>0.14677799186469706</v>
      </c>
      <c r="J13" s="86">
        <f t="shared" si="12"/>
        <v>0.14614956449828143</v>
      </c>
      <c r="K13" s="87">
        <f t="shared" si="12"/>
        <v>0.14053204950928222</v>
      </c>
      <c r="L13" s="87">
        <f t="shared" si="12"/>
        <v>0.13496605621729268</v>
      </c>
      <c r="M13" s="87">
        <f t="shared" si="12"/>
        <v>0.12944842914483684</v>
      </c>
      <c r="N13" s="88">
        <f t="shared" si="12"/>
        <v>0.12398241495859734</v>
      </c>
      <c r="O13" s="67">
        <f>AVERAGE(C13:I13)</f>
        <v>0.13048861157582864</v>
      </c>
      <c r="P13" s="67">
        <f>AVERAGE(C13:F13,I13)</f>
        <v>0.13568283452586546</v>
      </c>
    </row>
    <row r="14" spans="1:17" x14ac:dyDescent="0.3">
      <c r="A14" s="39" t="s">
        <v>133</v>
      </c>
      <c r="B14" s="9">
        <f t="shared" ref="B14:I14" si="13">SUM(B41,B68,B95,B122,B149,B164,B179)</f>
        <v>963</v>
      </c>
      <c r="C14" s="9">
        <f t="shared" si="13"/>
        <v>1143</v>
      </c>
      <c r="D14" s="9">
        <f t="shared" si="13"/>
        <v>1105</v>
      </c>
      <c r="E14" s="9">
        <f t="shared" si="13"/>
        <v>1028</v>
      </c>
      <c r="F14" s="9">
        <f t="shared" si="13"/>
        <v>1119</v>
      </c>
      <c r="G14" s="9">
        <f t="shared" si="13"/>
        <v>1086</v>
      </c>
      <c r="H14" s="9">
        <f t="shared" si="13"/>
        <v>695</v>
      </c>
      <c r="I14" s="9">
        <f t="shared" si="13"/>
        <v>758</v>
      </c>
      <c r="J14" s="78">
        <f>I14*(1+$P$15)</f>
        <v>797.89439933778522</v>
      </c>
      <c r="K14" s="44">
        <f>J14*(1+$P$15)</f>
        <v>839.88848614063988</v>
      </c>
      <c r="L14" s="44">
        <f>K14*(1+$P$15)</f>
        <v>884.0927693402474</v>
      </c>
      <c r="M14" s="44">
        <f>L14*(1+$P$15)</f>
        <v>930.62357407864874</v>
      </c>
      <c r="N14" s="79">
        <f>M14*(1+$P$15)</f>
        <v>979.6033478219872</v>
      </c>
      <c r="O14" s="67"/>
      <c r="P14" s="67"/>
    </row>
    <row r="15" spans="1:17" x14ac:dyDescent="0.3">
      <c r="A15" s="40" t="s">
        <v>127</v>
      </c>
      <c r="B15" s="81" t="str">
        <f t="shared" ref="B15:N15" si="14">+IFERROR(B14/A14-1,"nm")</f>
        <v>nm</v>
      </c>
      <c r="C15" s="81">
        <f t="shared" si="14"/>
        <v>0.18691588785046731</v>
      </c>
      <c r="D15" s="81">
        <f t="shared" si="14"/>
        <v>-3.3245844269466307E-2</v>
      </c>
      <c r="E15" s="81">
        <f t="shared" si="14"/>
        <v>-6.9683257918552011E-2</v>
      </c>
      <c r="F15" s="81">
        <f t="shared" si="14"/>
        <v>8.8521400778210024E-2</v>
      </c>
      <c r="G15" s="81">
        <f t="shared" si="14"/>
        <v>-2.9490616621983934E-2</v>
      </c>
      <c r="H15" s="81">
        <f t="shared" si="14"/>
        <v>-0.36003683241252304</v>
      </c>
      <c r="I15" s="81">
        <f t="shared" si="14"/>
        <v>9.0647482014388547E-2</v>
      </c>
      <c r="J15" s="82">
        <f t="shared" si="14"/>
        <v>5.2631133691009468E-2</v>
      </c>
      <c r="K15" s="83">
        <f t="shared" si="14"/>
        <v>5.2631133691009468E-2</v>
      </c>
      <c r="L15" s="83">
        <f t="shared" si="14"/>
        <v>5.2631133691009468E-2</v>
      </c>
      <c r="M15" s="83">
        <f t="shared" si="14"/>
        <v>5.2631133691009468E-2</v>
      </c>
      <c r="N15" s="84">
        <f t="shared" si="14"/>
        <v>5.2631133691009468E-2</v>
      </c>
      <c r="O15" s="67">
        <f>AVERAGE(C15:I15)</f>
        <v>-1.8053111511351343E-2</v>
      </c>
      <c r="P15" s="67">
        <f>AVERAGE(C15:F15,I15)</f>
        <v>5.263113369100951E-2</v>
      </c>
    </row>
    <row r="16" spans="1:17" x14ac:dyDescent="0.3">
      <c r="A16" s="40" t="s">
        <v>131</v>
      </c>
      <c r="B16" s="85">
        <f t="shared" ref="B16:N16" si="15">B14/B3</f>
        <v>3.146955981830659E-2</v>
      </c>
      <c r="C16" s="85">
        <f t="shared" si="15"/>
        <v>3.5303928836174947E-2</v>
      </c>
      <c r="D16" s="85">
        <f t="shared" si="15"/>
        <v>3.2168850072780204E-2</v>
      </c>
      <c r="E16" s="85">
        <f t="shared" si="15"/>
        <v>2.8244086051048164E-2</v>
      </c>
      <c r="F16" s="85">
        <f t="shared" si="15"/>
        <v>2.8606488227624818E-2</v>
      </c>
      <c r="G16" s="85">
        <f t="shared" si="15"/>
        <v>2.9035104136031869E-2</v>
      </c>
      <c r="H16" s="85">
        <f t="shared" si="15"/>
        <v>1.5604652207104046E-2</v>
      </c>
      <c r="I16" s="85">
        <f t="shared" si="15"/>
        <v>1.6227788482123744E-2</v>
      </c>
      <c r="J16" s="86">
        <f t="shared" si="15"/>
        <v>1.6528368273355135E-2</v>
      </c>
      <c r="K16" s="87">
        <f t="shared" si="15"/>
        <v>1.6257055711340757E-2</v>
      </c>
      <c r="L16" s="87">
        <f t="shared" si="15"/>
        <v>1.5970743341051367E-2</v>
      </c>
      <c r="M16" s="87">
        <f t="shared" si="15"/>
        <v>1.5668644095594368E-2</v>
      </c>
      <c r="N16" s="88">
        <f t="shared" si="15"/>
        <v>1.5350721100857799E-2</v>
      </c>
      <c r="O16" s="67">
        <f>AVERAGE(C16:I16)</f>
        <v>2.6455842573269685E-2</v>
      </c>
      <c r="P16" s="67">
        <f>AVERAGE(C16:F16,I16)</f>
        <v>2.8110228333950375E-2</v>
      </c>
    </row>
    <row r="17" spans="1:24" x14ac:dyDescent="0.3">
      <c r="A17" s="92" t="s">
        <v>99</v>
      </c>
      <c r="B17" s="93"/>
      <c r="C17" s="93"/>
      <c r="D17" s="93"/>
      <c r="E17" s="93"/>
      <c r="F17" s="93"/>
      <c r="G17" s="93"/>
      <c r="H17" s="93"/>
      <c r="I17" s="93"/>
      <c r="J17" s="74"/>
      <c r="K17" s="75"/>
      <c r="L17" s="75"/>
      <c r="M17" s="75"/>
      <c r="N17" s="75"/>
      <c r="O17" s="94"/>
      <c r="P17" s="95"/>
    </row>
    <row r="18" spans="1:24" x14ac:dyDescent="0.3">
      <c r="A18" s="9" t="s">
        <v>134</v>
      </c>
      <c r="B18" s="9">
        <f>+[1]Historicals!B110</f>
        <v>13740</v>
      </c>
      <c r="C18" s="9">
        <f>+[1]Historicals!C110</f>
        <v>14764</v>
      </c>
      <c r="D18" s="9">
        <f>+[1]Historicals!D110</f>
        <v>15216</v>
      </c>
      <c r="E18" s="9">
        <f>+[1]Historicals!E110</f>
        <v>14855</v>
      </c>
      <c r="F18" s="9">
        <f>+[1]Historicals!F110</f>
        <v>15902</v>
      </c>
      <c r="G18" s="9">
        <f>+[1]Historicals!G110</f>
        <v>14484</v>
      </c>
      <c r="H18" s="9">
        <f>+[1]Historicals!H110</f>
        <v>17179</v>
      </c>
      <c r="I18" s="9">
        <f>+[1]Historicals!I110</f>
        <v>18353</v>
      </c>
      <c r="J18" s="78">
        <f>SUM(J20,J24,J28)</f>
        <v>19196.843323958205</v>
      </c>
      <c r="K18" s="166">
        <f t="shared" ref="K18:N18" si="16">SUM(K20,K24,K28)</f>
        <v>20081.990991794464</v>
      </c>
      <c r="L18" s="166">
        <f t="shared" si="16"/>
        <v>21010.457885106804</v>
      </c>
      <c r="M18" s="166">
        <f t="shared" si="16"/>
        <v>21984.358405113333</v>
      </c>
      <c r="N18" s="166">
        <f t="shared" si="16"/>
        <v>23005.911432480349</v>
      </c>
      <c r="O18" s="96"/>
      <c r="P18" s="67"/>
    </row>
    <row r="19" spans="1:24" x14ac:dyDescent="0.3">
      <c r="A19" s="41" t="s">
        <v>127</v>
      </c>
      <c r="B19" s="81" t="str">
        <f t="shared" ref="B19:N19" si="17">+IFERROR(B18/A18-1,"nm")</f>
        <v>nm</v>
      </c>
      <c r="C19" s="81">
        <f t="shared" si="17"/>
        <v>7.4526928675400228E-2</v>
      </c>
      <c r="D19" s="81">
        <f t="shared" si="17"/>
        <v>3.0615009482525046E-2</v>
      </c>
      <c r="E19" s="81">
        <f t="shared" si="17"/>
        <v>-2.372502628811779E-2</v>
      </c>
      <c r="F19" s="81">
        <f t="shared" si="17"/>
        <v>7.0481319421070276E-2</v>
      </c>
      <c r="G19" s="81">
        <f t="shared" si="17"/>
        <v>-8.9171173437303519E-2</v>
      </c>
      <c r="H19" s="81">
        <f t="shared" si="17"/>
        <v>0.18606738470035911</v>
      </c>
      <c r="I19" s="81">
        <f t="shared" si="17"/>
        <v>6.8339251411607238E-2</v>
      </c>
      <c r="J19" s="82">
        <f t="shared" si="17"/>
        <v>4.5978495284596743E-2</v>
      </c>
      <c r="K19" s="81">
        <f t="shared" si="17"/>
        <v>4.610902182712362E-2</v>
      </c>
      <c r="L19" s="81">
        <f t="shared" si="17"/>
        <v>4.6233806881584183E-2</v>
      </c>
      <c r="M19" s="81">
        <f t="shared" si="17"/>
        <v>4.6353131632456135E-2</v>
      </c>
      <c r="N19" s="81">
        <f t="shared" si="17"/>
        <v>4.6467265887068843E-2</v>
      </c>
      <c r="O19" s="96">
        <f>AVERAGE(C19:I19)</f>
        <v>4.5304813423648657E-2</v>
      </c>
      <c r="P19" s="67">
        <f>AVERAGE(C19:F19,I19)</f>
        <v>4.4047496540497E-2</v>
      </c>
    </row>
    <row r="20" spans="1:24" x14ac:dyDescent="0.3">
      <c r="A20" s="42" t="s">
        <v>112</v>
      </c>
      <c r="B20" s="47">
        <f>+[1]Historicals!B111</f>
        <v>8506</v>
      </c>
      <c r="C20" s="47">
        <f>+[1]Historicals!C111</f>
        <v>9299</v>
      </c>
      <c r="D20" s="47">
        <f>+[1]Historicals!D111</f>
        <v>9684</v>
      </c>
      <c r="E20" s="47">
        <f>+[1]Historicals!E111</f>
        <v>9322</v>
      </c>
      <c r="F20" s="47">
        <f>+[1]Historicals!F111</f>
        <v>10045</v>
      </c>
      <c r="G20" s="47">
        <f>+[1]Historicals!G111</f>
        <v>9329</v>
      </c>
      <c r="H20" s="47">
        <f>+[1]Historicals!H111</f>
        <v>11644</v>
      </c>
      <c r="I20" s="47">
        <f>+[1]Historicals!I111</f>
        <v>12228</v>
      </c>
      <c r="J20" s="78">
        <f>I20*(1+$P$21)</f>
        <v>12778.168077807031</v>
      </c>
      <c r="K20" s="44">
        <f>J20*(1+$P$21)</f>
        <v>13353.089583307707</v>
      </c>
      <c r="L20" s="44">
        <f>K20*(1+$P$21)</f>
        <v>13953.878234667985</v>
      </c>
      <c r="M20" s="44">
        <f>L20*(1+$P$21)</f>
        <v>14581.697858999081</v>
      </c>
      <c r="N20" s="44">
        <f>M20*(1+$P$21)</f>
        <v>15237.764646883315</v>
      </c>
      <c r="O20" s="96"/>
      <c r="P20" s="67"/>
    </row>
    <row r="21" spans="1:24" x14ac:dyDescent="0.3">
      <c r="A21" s="41" t="s">
        <v>127</v>
      </c>
      <c r="B21" s="81" t="str">
        <f t="shared" ref="B21:N21" si="18">+IFERROR(B20/A20-1,"nm")</f>
        <v>nm</v>
      </c>
      <c r="C21" s="81">
        <f t="shared" si="18"/>
        <v>9.3228309428638578E-2</v>
      </c>
      <c r="D21" s="81">
        <f t="shared" si="18"/>
        <v>4.1402301322722934E-2</v>
      </c>
      <c r="E21" s="81">
        <f t="shared" si="18"/>
        <v>-3.7381247418422192E-2</v>
      </c>
      <c r="F21" s="81">
        <f t="shared" si="18"/>
        <v>7.755846384895948E-2</v>
      </c>
      <c r="G21" s="81">
        <f t="shared" si="18"/>
        <v>-7.1279243404678949E-2</v>
      </c>
      <c r="H21" s="81">
        <f t="shared" si="18"/>
        <v>0.24815092721620746</v>
      </c>
      <c r="I21" s="81">
        <f t="shared" si="18"/>
        <v>5.0154586052902683E-2</v>
      </c>
      <c r="J21" s="82">
        <f t="shared" si="18"/>
        <v>4.4992482646960319E-2</v>
      </c>
      <c r="K21" s="81">
        <f t="shared" si="18"/>
        <v>4.4992482646960319E-2</v>
      </c>
      <c r="L21" s="81">
        <f t="shared" si="18"/>
        <v>4.4992482646960319E-2</v>
      </c>
      <c r="M21" s="81">
        <f t="shared" si="18"/>
        <v>4.4992482646960319E-2</v>
      </c>
      <c r="N21" s="81">
        <f t="shared" si="18"/>
        <v>4.4992482646960319E-2</v>
      </c>
      <c r="O21" s="96">
        <f>AVERAGE(C21:I21)</f>
        <v>5.740487100661857E-2</v>
      </c>
      <c r="P21" s="67">
        <f>AVERAGE(C21:F21,I21)</f>
        <v>4.4992482646960298E-2</v>
      </c>
    </row>
    <row r="22" spans="1:24" x14ac:dyDescent="0.3">
      <c r="A22" s="41" t="s">
        <v>135</v>
      </c>
      <c r="B22" s="81">
        <f>+[1]Historicals!B183</f>
        <v>0.14000000000000001</v>
      </c>
      <c r="C22" s="81">
        <f>+[1]Historicals!C183</f>
        <v>0.1</v>
      </c>
      <c r="D22" s="81">
        <f>+[1]Historicals!D183</f>
        <v>0.04</v>
      </c>
      <c r="E22" s="81">
        <f>+[1]Historicals!E183</f>
        <v>-0.04</v>
      </c>
      <c r="F22" s="81">
        <f>+[1]Historicals!F183</f>
        <v>0.08</v>
      </c>
      <c r="G22" s="81">
        <f>+[1]Historicals!G183</f>
        <v>-7.0000000000000007E-2</v>
      </c>
      <c r="H22" s="81">
        <f>+[1]Historicals!H183</f>
        <v>0.25</v>
      </c>
      <c r="I22" s="81">
        <f>+[1]Historicals!I183</f>
        <v>0.05</v>
      </c>
      <c r="J22" s="82">
        <f>$P$22</f>
        <v>4.5999999999999999E-2</v>
      </c>
      <c r="K22" s="81">
        <f>$P$22</f>
        <v>4.5999999999999999E-2</v>
      </c>
      <c r="L22" s="81">
        <f>$P$22</f>
        <v>4.5999999999999999E-2</v>
      </c>
      <c r="M22" s="81">
        <f>$P$22</f>
        <v>4.5999999999999999E-2</v>
      </c>
      <c r="N22" s="81">
        <f>$P$22</f>
        <v>4.5999999999999999E-2</v>
      </c>
      <c r="O22" s="96">
        <f>AVERAGE(C22:I22)</f>
        <v>5.8571428571428566E-2</v>
      </c>
      <c r="P22" s="67">
        <f>AVERAGE(C22:F22,I22)</f>
        <v>4.5999999999999999E-2</v>
      </c>
    </row>
    <row r="23" spans="1:24" x14ac:dyDescent="0.3">
      <c r="A23" s="41" t="s">
        <v>136</v>
      </c>
      <c r="B23" s="81" t="str">
        <f t="shared" ref="B23:N23" si="19">+IFERROR(B21-B22,"nm")</f>
        <v>nm</v>
      </c>
      <c r="C23" s="81">
        <f t="shared" si="19"/>
        <v>-6.7716905713614273E-3</v>
      </c>
      <c r="D23" s="81">
        <f t="shared" si="19"/>
        <v>1.4023013227229333E-3</v>
      </c>
      <c r="E23" s="81">
        <f t="shared" si="19"/>
        <v>2.6187525815778087E-3</v>
      </c>
      <c r="F23" s="81">
        <f t="shared" si="19"/>
        <v>-2.4415361510405215E-3</v>
      </c>
      <c r="G23" s="81">
        <f t="shared" si="19"/>
        <v>-1.2792434046789425E-3</v>
      </c>
      <c r="H23" s="81">
        <f t="shared" si="19"/>
        <v>-1.849072783792538E-3</v>
      </c>
      <c r="I23" s="81">
        <f t="shared" si="19"/>
        <v>1.5458605290268046E-4</v>
      </c>
      <c r="J23" s="82">
        <f t="shared" si="19"/>
        <v>-1.0075173530396803E-3</v>
      </c>
      <c r="K23" s="81">
        <f t="shared" si="19"/>
        <v>-1.0075173530396803E-3</v>
      </c>
      <c r="L23" s="81">
        <f t="shared" si="19"/>
        <v>-1.0075173530396803E-3</v>
      </c>
      <c r="M23" s="81">
        <f t="shared" si="19"/>
        <v>-1.0075173530396803E-3</v>
      </c>
      <c r="N23" s="81">
        <f t="shared" si="19"/>
        <v>-1.0075173530396803E-3</v>
      </c>
      <c r="O23" s="96">
        <f>AVERAGE(C23:I23)</f>
        <v>-1.166557564810001E-3</v>
      </c>
      <c r="P23" s="67">
        <f>AVERAGE(C23:F23,I23)</f>
        <v>-1.0075173530397052E-3</v>
      </c>
    </row>
    <row r="24" spans="1:24" x14ac:dyDescent="0.3">
      <c r="A24" s="42" t="s">
        <v>113</v>
      </c>
      <c r="B24" s="47">
        <f>+[1]Historicals!B112</f>
        <v>4410</v>
      </c>
      <c r="C24" s="47">
        <f>+[1]Historicals!C112</f>
        <v>4746</v>
      </c>
      <c r="D24" s="47">
        <f>+[1]Historicals!D112</f>
        <v>4886</v>
      </c>
      <c r="E24" s="47">
        <f>+[1]Historicals!E112</f>
        <v>4938</v>
      </c>
      <c r="F24" s="47">
        <f>+[1]Historicals!F112</f>
        <v>5260</v>
      </c>
      <c r="G24" s="47">
        <f>+[1]Historicals!G112</f>
        <v>4639</v>
      </c>
      <c r="H24" s="47">
        <f>+[1]Historicals!H112</f>
        <v>5028</v>
      </c>
      <c r="I24" s="47">
        <f>+[1]Historicals!I112</f>
        <v>5492</v>
      </c>
      <c r="J24" s="78">
        <f>I24*(1+$P$25)</f>
        <v>5792.7676821092427</v>
      </c>
      <c r="K24" s="44">
        <f>J24*(1+$P$25)</f>
        <v>6110.0068133447357</v>
      </c>
      <c r="L24" s="44">
        <f>K24*(1+$P$25)</f>
        <v>6444.6194475256125</v>
      </c>
      <c r="M24" s="44">
        <f>L24*(1+$P$25)</f>
        <v>6797.5570391695355</v>
      </c>
      <c r="N24" s="44">
        <f>M24*(1+$P$25)</f>
        <v>7169.8231489066775</v>
      </c>
      <c r="O24" s="96"/>
      <c r="P24" s="67"/>
    </row>
    <row r="25" spans="1:24" x14ac:dyDescent="0.3">
      <c r="A25" s="41" t="s">
        <v>127</v>
      </c>
      <c r="B25" s="81" t="str">
        <f t="shared" ref="B25:N25" si="20">+IFERROR(B24/A24-1,"nm")</f>
        <v>nm</v>
      </c>
      <c r="C25" s="81">
        <f t="shared" si="20"/>
        <v>7.6190476190476142E-2</v>
      </c>
      <c r="D25" s="81">
        <f t="shared" si="20"/>
        <v>2.9498525073746285E-2</v>
      </c>
      <c r="E25" s="81">
        <f t="shared" si="20"/>
        <v>1.0642652476463343E-2</v>
      </c>
      <c r="F25" s="81">
        <f t="shared" si="20"/>
        <v>6.5208586472256025E-2</v>
      </c>
      <c r="G25" s="81">
        <f t="shared" si="20"/>
        <v>-0.11806083650190113</v>
      </c>
      <c r="H25" s="81">
        <f t="shared" si="20"/>
        <v>8.3854278939426541E-2</v>
      </c>
      <c r="I25" s="81">
        <f t="shared" si="20"/>
        <v>9.2283214001591007E-2</v>
      </c>
      <c r="J25" s="82">
        <f t="shared" si="20"/>
        <v>5.4764690842906472E-2</v>
      </c>
      <c r="K25" s="81">
        <f t="shared" si="20"/>
        <v>5.4764690842906472E-2</v>
      </c>
      <c r="L25" s="81">
        <f t="shared" si="20"/>
        <v>5.4764690842906472E-2</v>
      </c>
      <c r="M25" s="81">
        <f t="shared" si="20"/>
        <v>5.4764690842906472E-2</v>
      </c>
      <c r="N25" s="81">
        <f t="shared" si="20"/>
        <v>5.4764690842906472E-2</v>
      </c>
      <c r="O25" s="96">
        <f>AVERAGE(C25:I25)</f>
        <v>3.4230985236008316E-2</v>
      </c>
      <c r="P25" s="67">
        <f>AVERAGE(C25:F25,I25)</f>
        <v>5.4764690842906562E-2</v>
      </c>
    </row>
    <row r="26" spans="1:24" x14ac:dyDescent="0.3">
      <c r="A26" s="41" t="s">
        <v>135</v>
      </c>
      <c r="B26" s="81">
        <f>+[1]Historicals!B184</f>
        <v>0.12</v>
      </c>
      <c r="C26" s="81">
        <f>+[1]Historicals!C184</f>
        <v>0.08</v>
      </c>
      <c r="D26" s="81">
        <f>+[1]Historicals!D184</f>
        <v>0.03</v>
      </c>
      <c r="E26" s="81">
        <f>+[1]Historicals!E184</f>
        <v>0.01</v>
      </c>
      <c r="F26" s="81">
        <f>+[1]Historicals!F184</f>
        <v>7.0000000000000007E-2</v>
      </c>
      <c r="G26" s="81">
        <f>+[1]Historicals!G184</f>
        <v>-0.12</v>
      </c>
      <c r="H26" s="81">
        <f>+[1]Historicals!H184</f>
        <v>0.08</v>
      </c>
      <c r="I26" s="81">
        <f>+[1]Historicals!I184</f>
        <v>0.09</v>
      </c>
      <c r="J26" s="97">
        <f>$P$26</f>
        <v>5.6000000000000008E-2</v>
      </c>
      <c r="K26" s="98">
        <f>$P$26</f>
        <v>5.6000000000000008E-2</v>
      </c>
      <c r="L26" s="98">
        <f>$P$26</f>
        <v>5.6000000000000008E-2</v>
      </c>
      <c r="M26" s="98">
        <f>$P$26</f>
        <v>5.6000000000000008E-2</v>
      </c>
      <c r="N26" s="98">
        <f>$P$26</f>
        <v>5.6000000000000008E-2</v>
      </c>
      <c r="O26" s="96">
        <f>AVERAGE(C26:I26)</f>
        <v>3.4285714285714287E-2</v>
      </c>
      <c r="P26" s="67">
        <f>AVERAGE(C26:F26,I26)</f>
        <v>5.6000000000000008E-2</v>
      </c>
    </row>
    <row r="27" spans="1:24" x14ac:dyDescent="0.3">
      <c r="A27" s="41" t="s">
        <v>136</v>
      </c>
      <c r="B27" s="81" t="str">
        <f t="shared" ref="B27:N27" si="21">+IFERROR(B25-B26,"nm")</f>
        <v>nm</v>
      </c>
      <c r="C27" s="81">
        <f t="shared" si="21"/>
        <v>-3.8095238095238598E-3</v>
      </c>
      <c r="D27" s="81">
        <f t="shared" si="21"/>
        <v>-5.0147492625371437E-4</v>
      </c>
      <c r="E27" s="81">
        <f t="shared" si="21"/>
        <v>6.4265247646334324E-4</v>
      </c>
      <c r="F27" s="81">
        <f t="shared" si="21"/>
        <v>-4.7914135277439818E-3</v>
      </c>
      <c r="G27" s="81">
        <f t="shared" si="21"/>
        <v>1.9391634980988615E-3</v>
      </c>
      <c r="H27" s="81">
        <f t="shared" si="21"/>
        <v>3.8542789394265392E-3</v>
      </c>
      <c r="I27" s="81">
        <f t="shared" si="21"/>
        <v>2.2832140015910107E-3</v>
      </c>
      <c r="J27" s="82">
        <f t="shared" si="21"/>
        <v>-1.2353091570935365E-3</v>
      </c>
      <c r="K27" s="81">
        <f t="shared" si="21"/>
        <v>-1.2353091570935365E-3</v>
      </c>
      <c r="L27" s="81">
        <f t="shared" si="21"/>
        <v>-1.2353091570935365E-3</v>
      </c>
      <c r="M27" s="81">
        <f t="shared" si="21"/>
        <v>-1.2353091570935365E-3</v>
      </c>
      <c r="N27" s="81">
        <f t="shared" si="21"/>
        <v>-1.2353091570935365E-3</v>
      </c>
      <c r="O27" s="96">
        <f>AVERAGE(C27:I27)</f>
        <v>-5.4729049705971615E-5</v>
      </c>
      <c r="P27" s="67">
        <f>AVERAGE(C27:F27,I27)</f>
        <v>-1.2353091570934404E-3</v>
      </c>
      <c r="T27" s="133"/>
      <c r="U27" s="133"/>
      <c r="V27" s="133"/>
    </row>
    <row r="28" spans="1:24" x14ac:dyDescent="0.3">
      <c r="A28" s="42" t="s">
        <v>114</v>
      </c>
      <c r="B28" s="47">
        <f>+[1]Historicals!B113</f>
        <v>824</v>
      </c>
      <c r="C28" s="47">
        <f>+[1]Historicals!C113</f>
        <v>719</v>
      </c>
      <c r="D28" s="47">
        <f>+[1]Historicals!D113</f>
        <v>646</v>
      </c>
      <c r="E28" s="47">
        <f>+[1]Historicals!E113</f>
        <v>595</v>
      </c>
      <c r="F28" s="47">
        <f>+[1]Historicals!F113</f>
        <v>597</v>
      </c>
      <c r="G28" s="47">
        <f>+[1]Historicals!G113</f>
        <v>516</v>
      </c>
      <c r="H28" s="47">
        <f>+[1]Historicals!H113</f>
        <v>507</v>
      </c>
      <c r="I28" s="47">
        <f>+[1]Historicals!I113</f>
        <v>633</v>
      </c>
      <c r="J28" s="78">
        <f>I28*(1+$P$29)</f>
        <v>625.90756404192723</v>
      </c>
      <c r="K28" s="44">
        <f>J28*(1+$P$29)</f>
        <v>618.89459514202088</v>
      </c>
      <c r="L28" s="44">
        <f>K28*(1+$P$29)</f>
        <v>611.96020291320235</v>
      </c>
      <c r="M28" s="44">
        <f>L28*(1+$P$29)</f>
        <v>605.1035069447172</v>
      </c>
      <c r="N28" s="44">
        <f>M28*(1+$P$29)</f>
        <v>598.32363669035601</v>
      </c>
      <c r="O28" s="96"/>
      <c r="P28" s="67"/>
    </row>
    <row r="29" spans="1:24" x14ac:dyDescent="0.3">
      <c r="A29" s="41" t="s">
        <v>127</v>
      </c>
      <c r="B29" s="81" t="str">
        <f t="shared" ref="B29:N29" si="22">+IFERROR(B28/A28-1,"nm")</f>
        <v>nm</v>
      </c>
      <c r="C29" s="81">
        <f t="shared" si="22"/>
        <v>-0.12742718446601942</v>
      </c>
      <c r="D29" s="81">
        <f t="shared" si="22"/>
        <v>-0.10152990264255912</v>
      </c>
      <c r="E29" s="81">
        <f t="shared" si="22"/>
        <v>-7.8947368421052655E-2</v>
      </c>
      <c r="F29" s="81">
        <f t="shared" si="22"/>
        <v>3.3613445378151141E-3</v>
      </c>
      <c r="G29" s="81">
        <f t="shared" si="22"/>
        <v>-0.13567839195979903</v>
      </c>
      <c r="H29" s="81">
        <f t="shared" si="22"/>
        <v>-1.744186046511631E-2</v>
      </c>
      <c r="I29" s="81">
        <f t="shared" si="22"/>
        <v>0.24852071005917153</v>
      </c>
      <c r="J29" s="82">
        <f t="shared" si="22"/>
        <v>-1.1204480186528865E-2</v>
      </c>
      <c r="K29" s="81">
        <f t="shared" si="22"/>
        <v>-1.1204480186528865E-2</v>
      </c>
      <c r="L29" s="81">
        <f t="shared" si="22"/>
        <v>-1.1204480186528754E-2</v>
      </c>
      <c r="M29" s="81">
        <f t="shared" si="22"/>
        <v>-1.1204480186528865E-2</v>
      </c>
      <c r="N29" s="81">
        <f t="shared" si="22"/>
        <v>-1.1204480186528865E-2</v>
      </c>
      <c r="O29" s="96">
        <f>AVERAGE(C29:I29)</f>
        <v>-2.9877521908222841E-2</v>
      </c>
      <c r="P29" s="67">
        <f>AVERAGE(C29:F29,I29)</f>
        <v>-1.120448018652891E-2</v>
      </c>
    </row>
    <row r="30" spans="1:24" x14ac:dyDescent="0.3">
      <c r="A30" s="41" t="s">
        <v>135</v>
      </c>
      <c r="B30" s="81">
        <f>+[1]Historicals!B185</f>
        <v>-0.05</v>
      </c>
      <c r="C30" s="81">
        <f>+[1]Historicals!C185</f>
        <v>-0.13</v>
      </c>
      <c r="D30" s="81">
        <f>+[1]Historicals!D185</f>
        <v>-0.1</v>
      </c>
      <c r="E30" s="81">
        <f>+[1]Historicals!E185</f>
        <v>-0.08</v>
      </c>
      <c r="F30" s="81">
        <f>+[1]Historicals!F185</f>
        <v>0</v>
      </c>
      <c r="G30" s="81">
        <f>+[1]Historicals!G185</f>
        <v>-0.14000000000000001</v>
      </c>
      <c r="H30" s="81">
        <f>+[1]Historicals!H185</f>
        <v>-0.02</v>
      </c>
      <c r="I30" s="81">
        <f>+[1]Historicals!I185</f>
        <v>0.25</v>
      </c>
      <c r="J30" s="99">
        <f>$P$30</f>
        <v>-1.2E-2</v>
      </c>
      <c r="K30" s="100">
        <f>$P$30</f>
        <v>-1.2E-2</v>
      </c>
      <c r="L30" s="100">
        <f>$P$30</f>
        <v>-1.2E-2</v>
      </c>
      <c r="M30" s="100">
        <f>$P$30</f>
        <v>-1.2E-2</v>
      </c>
      <c r="N30" s="100">
        <f>$P$30</f>
        <v>-1.2E-2</v>
      </c>
      <c r="O30" s="96">
        <f>AVERAGE(C30:I30)</f>
        <v>-3.1428571428571431E-2</v>
      </c>
      <c r="P30" s="67">
        <f>AVERAGE(C30:F30,I30)</f>
        <v>-1.2E-2</v>
      </c>
    </row>
    <row r="31" spans="1:24" x14ac:dyDescent="0.3">
      <c r="A31" s="41" t="s">
        <v>136</v>
      </c>
      <c r="B31" s="81" t="str">
        <f t="shared" ref="B31:N31" si="23">+IFERROR(B29-B30,"nm")</f>
        <v>nm</v>
      </c>
      <c r="C31" s="81">
        <f t="shared" si="23"/>
        <v>2.572815533980588E-3</v>
      </c>
      <c r="D31" s="81">
        <f t="shared" si="23"/>
        <v>-1.5299026425591167E-3</v>
      </c>
      <c r="E31" s="81">
        <f t="shared" si="23"/>
        <v>1.0526315789473467E-3</v>
      </c>
      <c r="F31" s="81">
        <f t="shared" si="23"/>
        <v>3.3613445378151141E-3</v>
      </c>
      <c r="G31" s="81">
        <f t="shared" si="23"/>
        <v>4.321608040200986E-3</v>
      </c>
      <c r="H31" s="81">
        <f t="shared" si="23"/>
        <v>2.5581395348836904E-3</v>
      </c>
      <c r="I31" s="81">
        <f t="shared" si="23"/>
        <v>-1.4792899408284654E-3</v>
      </c>
      <c r="J31" s="82">
        <f t="shared" si="23"/>
        <v>7.9551981347113568E-4</v>
      </c>
      <c r="K31" s="81">
        <f t="shared" si="23"/>
        <v>7.9551981347113568E-4</v>
      </c>
      <c r="L31" s="81">
        <f t="shared" si="23"/>
        <v>7.955198134712467E-4</v>
      </c>
      <c r="M31" s="81">
        <f t="shared" si="23"/>
        <v>7.9551981347113568E-4</v>
      </c>
      <c r="N31" s="81">
        <f t="shared" si="23"/>
        <v>7.9551981347113568E-4</v>
      </c>
      <c r="O31" s="96">
        <f>AVERAGE(C31:I31)</f>
        <v>1.5510495203485918E-3</v>
      </c>
      <c r="P31" s="67">
        <f>AVERAGE(C31:F31,I31)</f>
        <v>7.9551981347109339E-4</v>
      </c>
      <c r="S31" s="123"/>
      <c r="T31" s="123"/>
      <c r="U31" s="123"/>
      <c r="V31" s="123"/>
      <c r="W31" s="123"/>
      <c r="X31" s="123"/>
    </row>
    <row r="32" spans="1:24" x14ac:dyDescent="0.3">
      <c r="A32" s="9" t="s">
        <v>128</v>
      </c>
      <c r="B32" s="44">
        <f>+[1]Historicals!B137+[1]Historicals!B170</f>
        <v>3766</v>
      </c>
      <c r="C32" s="44">
        <f>+[1]Historicals!C137+[1]Historicals!C170</f>
        <v>3896</v>
      </c>
      <c r="D32" s="44">
        <f>+[1]Historicals!D137+[1]Historicals!D170</f>
        <v>4015</v>
      </c>
      <c r="E32" s="44">
        <f>+[1]Historicals!E137+[1]Historicals!E170</f>
        <v>3760</v>
      </c>
      <c r="F32" s="44">
        <f>+[1]Historicals!F137+[1]Historicals!F170</f>
        <v>4074</v>
      </c>
      <c r="G32" s="44">
        <f>+[1]Historicals!G137+[1]Historicals!G170</f>
        <v>3047</v>
      </c>
      <c r="H32" s="44">
        <f>+[1]Historicals!H137+[1]Historicals!H170</f>
        <v>5219</v>
      </c>
      <c r="I32" s="44">
        <f>+[1]Historicals!I137+[1]Historicals!I170</f>
        <v>5238</v>
      </c>
      <c r="J32" s="78">
        <f>I32*(1+$P$33)</f>
        <v>5330.9251408949876</v>
      </c>
      <c r="K32" s="44">
        <f>J32*(1+$P$33)</f>
        <v>5425.4988273818717</v>
      </c>
      <c r="L32" s="44">
        <f>K32*(1+$P$33)</f>
        <v>5521.7503056102123</v>
      </c>
      <c r="M32" s="44">
        <f>L32*(1+$P$33)</f>
        <v>5619.7093405731312</v>
      </c>
      <c r="N32" s="44">
        <f>M32*(1+$P$33)</f>
        <v>5719.4062253118927</v>
      </c>
      <c r="O32" s="96"/>
      <c r="P32" s="67"/>
    </row>
    <row r="33" spans="1:16" x14ac:dyDescent="0.3">
      <c r="A33" s="43" t="s">
        <v>127</v>
      </c>
      <c r="B33" s="81" t="str">
        <f t="shared" ref="B33:N33" si="24">+IFERROR(B32/A32-1,"nm")</f>
        <v>nm</v>
      </c>
      <c r="C33" s="81">
        <f t="shared" si="24"/>
        <v>3.4519383961763239E-2</v>
      </c>
      <c r="D33" s="81">
        <f t="shared" si="24"/>
        <v>3.0544147843942548E-2</v>
      </c>
      <c r="E33" s="81">
        <f t="shared" si="24"/>
        <v>-6.3511830635118338E-2</v>
      </c>
      <c r="F33" s="81">
        <f t="shared" si="24"/>
        <v>8.3510638297872308E-2</v>
      </c>
      <c r="G33" s="81">
        <f t="shared" si="24"/>
        <v>-0.25208640157093765</v>
      </c>
      <c r="H33" s="81">
        <f t="shared" si="24"/>
        <v>0.71283229405973092</v>
      </c>
      <c r="I33" s="81">
        <f t="shared" si="24"/>
        <v>3.6405441655489312E-3</v>
      </c>
      <c r="J33" s="82">
        <f t="shared" si="24"/>
        <v>1.7740576726801738E-2</v>
      </c>
      <c r="K33" s="81">
        <f t="shared" si="24"/>
        <v>1.7740576726801738E-2</v>
      </c>
      <c r="L33" s="81">
        <f t="shared" si="24"/>
        <v>1.7740576726801738E-2</v>
      </c>
      <c r="M33" s="81">
        <f t="shared" si="24"/>
        <v>1.7740576726801738E-2</v>
      </c>
      <c r="N33" s="81">
        <f t="shared" si="24"/>
        <v>1.7740576726801738E-2</v>
      </c>
      <c r="O33" s="96">
        <f>AVERAGE(C33:I33)</f>
        <v>7.8492682303257427E-2</v>
      </c>
      <c r="P33" s="67">
        <f>AVERAGE(C33:F33,I33)</f>
        <v>1.7740576726801738E-2</v>
      </c>
    </row>
    <row r="34" spans="1:16" x14ac:dyDescent="0.3">
      <c r="A34" s="43" t="s">
        <v>129</v>
      </c>
      <c r="B34" s="81">
        <f t="shared" ref="B34:N34" si="25">+IFERROR(B32/B$18,"nm")</f>
        <v>0.27409024745269289</v>
      </c>
      <c r="C34" s="81">
        <f t="shared" si="25"/>
        <v>0.26388512598211866</v>
      </c>
      <c r="D34" s="81">
        <f t="shared" si="25"/>
        <v>0.26386698212407994</v>
      </c>
      <c r="E34" s="81">
        <f t="shared" si="25"/>
        <v>0.25311342982160889</v>
      </c>
      <c r="F34" s="81">
        <f t="shared" si="25"/>
        <v>0.25619418941013711</v>
      </c>
      <c r="G34" s="81">
        <f t="shared" si="25"/>
        <v>0.2103700635183651</v>
      </c>
      <c r="H34" s="81">
        <f t="shared" si="25"/>
        <v>0.30380115256999823</v>
      </c>
      <c r="I34" s="81">
        <f t="shared" si="25"/>
        <v>0.28540293140086087</v>
      </c>
      <c r="J34" s="82">
        <f t="shared" si="25"/>
        <v>0.27769800747614803</v>
      </c>
      <c r="K34" s="81">
        <f t="shared" si="25"/>
        <v>0.2701673768103342</v>
      </c>
      <c r="L34" s="81">
        <f t="shared" si="25"/>
        <v>0.26280961299393135</v>
      </c>
      <c r="M34" s="81">
        <f t="shared" si="25"/>
        <v>0.25562307696303044</v>
      </c>
      <c r="N34" s="81">
        <f t="shared" si="25"/>
        <v>0.24860593948201876</v>
      </c>
      <c r="O34" s="96">
        <f>AVERAGE(C34:I34)</f>
        <v>0.26237626783245271</v>
      </c>
      <c r="P34" s="67">
        <f>AVERAGE(C34:F34,I34)</f>
        <v>0.26449253174776111</v>
      </c>
    </row>
    <row r="35" spans="1:16" x14ac:dyDescent="0.3">
      <c r="A35" s="9" t="s">
        <v>130</v>
      </c>
      <c r="B35" s="9">
        <f>+[1]Historicals!B170</f>
        <v>121</v>
      </c>
      <c r="C35" s="9">
        <f>+[1]Historicals!C170</f>
        <v>133</v>
      </c>
      <c r="D35" s="9">
        <f>+[1]Historicals!D170</f>
        <v>140</v>
      </c>
      <c r="E35" s="9">
        <f>+[1]Historicals!E170</f>
        <v>160</v>
      </c>
      <c r="F35" s="9">
        <f>+[1]Historicals!F170</f>
        <v>149</v>
      </c>
      <c r="G35" s="9">
        <f>+[1]Historicals!G170</f>
        <v>148</v>
      </c>
      <c r="H35" s="9">
        <f>+[1]Historicals!H170</f>
        <v>130</v>
      </c>
      <c r="I35" s="9">
        <f>+[1]Historicals!I170</f>
        <v>124</v>
      </c>
      <c r="J35" s="78">
        <f>I35*(1+$P$36)</f>
        <v>128.4580090483679</v>
      </c>
      <c r="K35" s="44">
        <f>J35*(1+$P$36)</f>
        <v>133.07629103766587</v>
      </c>
      <c r="L35" s="44">
        <f>K35*(1+$P$36)</f>
        <v>137.86060805032034</v>
      </c>
      <c r="M35" s="44">
        <f>L35*(1+$P$36)</f>
        <v>142.81692932533508</v>
      </c>
      <c r="N35" s="44">
        <f>M35*(1+$P$36)</f>
        <v>147.95143870591946</v>
      </c>
      <c r="O35" s="96"/>
      <c r="P35" s="67"/>
    </row>
    <row r="36" spans="1:16" x14ac:dyDescent="0.3">
      <c r="A36" s="43" t="s">
        <v>127</v>
      </c>
      <c r="B36" s="81" t="str">
        <f t="shared" ref="B36:N36" si="26">+IFERROR(B35/A35-1,"nm")</f>
        <v>nm</v>
      </c>
      <c r="C36" s="81">
        <f t="shared" si="26"/>
        <v>9.9173553719008156E-2</v>
      </c>
      <c r="D36" s="81">
        <f t="shared" si="26"/>
        <v>5.2631578947368363E-2</v>
      </c>
      <c r="E36" s="81">
        <f t="shared" si="26"/>
        <v>0.14285714285714279</v>
      </c>
      <c r="F36" s="81">
        <f t="shared" si="26"/>
        <v>-6.8749999999999978E-2</v>
      </c>
      <c r="G36" s="81">
        <f t="shared" si="26"/>
        <v>-6.7114093959731447E-3</v>
      </c>
      <c r="H36" s="81">
        <f t="shared" si="26"/>
        <v>-0.1216216216216216</v>
      </c>
      <c r="I36" s="81">
        <f t="shared" si="26"/>
        <v>-4.6153846153846101E-2</v>
      </c>
      <c r="J36" s="82">
        <f t="shared" si="26"/>
        <v>3.5951685873934602E-2</v>
      </c>
      <c r="K36" s="81">
        <f t="shared" si="26"/>
        <v>3.5951685873934602E-2</v>
      </c>
      <c r="L36" s="81">
        <f t="shared" si="26"/>
        <v>3.5951685873934602E-2</v>
      </c>
      <c r="M36" s="81">
        <f t="shared" si="26"/>
        <v>3.5951685873934602E-2</v>
      </c>
      <c r="N36" s="81">
        <f t="shared" si="26"/>
        <v>3.5951685873934602E-2</v>
      </c>
      <c r="O36" s="96">
        <f>AVERAGE(C36:I36)</f>
        <v>7.3464854788683554E-3</v>
      </c>
      <c r="P36" s="67">
        <f>AVERAGE(C36:F36,I36)</f>
        <v>3.5951685873934644E-2</v>
      </c>
    </row>
    <row r="37" spans="1:16" x14ac:dyDescent="0.3">
      <c r="A37" s="43" t="s">
        <v>131</v>
      </c>
      <c r="B37" s="81">
        <f t="shared" ref="B37:N37" si="27">+IFERROR(B35/B$18,"nm")</f>
        <v>8.8064046579330417E-3</v>
      </c>
      <c r="C37" s="81">
        <f t="shared" si="27"/>
        <v>9.0083988079111346E-3</v>
      </c>
      <c r="D37" s="81">
        <f t="shared" si="27"/>
        <v>9.2008412197686646E-3</v>
      </c>
      <c r="E37" s="81">
        <f t="shared" si="27"/>
        <v>1.0770784247728038E-2</v>
      </c>
      <c r="F37" s="81">
        <f t="shared" si="27"/>
        <v>9.3698905798012821E-3</v>
      </c>
      <c r="G37" s="81">
        <f t="shared" si="27"/>
        <v>1.0218171775752554E-2</v>
      </c>
      <c r="H37" s="81">
        <f t="shared" si="27"/>
        <v>7.5673787764130628E-3</v>
      </c>
      <c r="I37" s="81">
        <f t="shared" si="27"/>
        <v>6.7563886013185855E-3</v>
      </c>
      <c r="J37" s="82">
        <f t="shared" si="27"/>
        <v>6.6916214754979362E-3</v>
      </c>
      <c r="K37" s="81">
        <f t="shared" si="27"/>
        <v>6.6266482786513084E-3</v>
      </c>
      <c r="L37" s="81">
        <f t="shared" si="27"/>
        <v>6.5615232568559294E-3</v>
      </c>
      <c r="M37" s="81">
        <f t="shared" si="27"/>
        <v>6.4962973534909872E-3</v>
      </c>
      <c r="N37" s="81">
        <f t="shared" si="27"/>
        <v>6.4310183554404949E-3</v>
      </c>
      <c r="O37" s="96">
        <f>AVERAGE(C37:I37)</f>
        <v>8.9845505726704744E-3</v>
      </c>
      <c r="P37" s="67">
        <f>AVERAGE(C37:F37,I37)</f>
        <v>9.0212606913055403E-3</v>
      </c>
    </row>
    <row r="38" spans="1:16" x14ac:dyDescent="0.3">
      <c r="A38" s="9" t="s">
        <v>132</v>
      </c>
      <c r="B38" s="9">
        <f>+[1]Historicals!B137</f>
        <v>3645</v>
      </c>
      <c r="C38" s="9">
        <f>+[1]Historicals!C137</f>
        <v>3763</v>
      </c>
      <c r="D38" s="9">
        <f>+[1]Historicals!D137</f>
        <v>3875</v>
      </c>
      <c r="E38" s="9">
        <f>+[1]Historicals!E137</f>
        <v>3600</v>
      </c>
      <c r="F38" s="9">
        <f>+[1]Historicals!F137</f>
        <v>3925</v>
      </c>
      <c r="G38" s="9">
        <f>+[1]Historicals!G137</f>
        <v>2899</v>
      </c>
      <c r="H38" s="9">
        <f>+[1]Historicals!H137</f>
        <v>5089</v>
      </c>
      <c r="I38" s="9">
        <f>+[1]Historicals!I137</f>
        <v>5114</v>
      </c>
      <c r="J38" s="78">
        <f>I38*(1+$P$39)</f>
        <v>5202.3281823663274</v>
      </c>
      <c r="K38" s="44">
        <f>J38*(1+$P$39)</f>
        <v>5292.1819548382737</v>
      </c>
      <c r="L38" s="44">
        <f>K38*(1+$P$39)</f>
        <v>5383.5876671618444</v>
      </c>
      <c r="M38" s="44">
        <f>L38*(1+$P$39)</f>
        <v>5476.5721241916017</v>
      </c>
      <c r="N38" s="44">
        <f>M38*(1+$P$39)</f>
        <v>5571.1625937512299</v>
      </c>
      <c r="O38" s="96"/>
      <c r="P38" s="67"/>
    </row>
    <row r="39" spans="1:16" x14ac:dyDescent="0.3">
      <c r="A39" s="43" t="s">
        <v>127</v>
      </c>
      <c r="B39" s="81" t="str">
        <f t="shared" ref="B39:N39" si="28">+IFERROR(B38/A38-1,"nm")</f>
        <v>nm</v>
      </c>
      <c r="C39" s="81">
        <f t="shared" si="28"/>
        <v>3.2373113854595292E-2</v>
      </c>
      <c r="D39" s="81">
        <f t="shared" si="28"/>
        <v>2.9763486579856391E-2</v>
      </c>
      <c r="E39" s="81">
        <f t="shared" si="28"/>
        <v>-7.096774193548383E-2</v>
      </c>
      <c r="F39" s="81">
        <f t="shared" si="28"/>
        <v>9.0277777777777679E-2</v>
      </c>
      <c r="G39" s="81">
        <f t="shared" si="28"/>
        <v>-0.26140127388535028</v>
      </c>
      <c r="H39" s="81">
        <f t="shared" si="28"/>
        <v>0.75543290789927564</v>
      </c>
      <c r="I39" s="81">
        <f t="shared" si="28"/>
        <v>4.9125564943997002E-3</v>
      </c>
      <c r="J39" s="82">
        <f t="shared" si="28"/>
        <v>1.727183855422898E-2</v>
      </c>
      <c r="K39" s="81">
        <f t="shared" si="28"/>
        <v>1.727183855422898E-2</v>
      </c>
      <c r="L39" s="81">
        <f t="shared" si="28"/>
        <v>1.727183855422898E-2</v>
      </c>
      <c r="M39" s="81">
        <f t="shared" si="28"/>
        <v>1.727183855422898E-2</v>
      </c>
      <c r="N39" s="81">
        <f t="shared" si="28"/>
        <v>1.727183855422898E-2</v>
      </c>
      <c r="O39" s="96">
        <f>AVERAGE(C39:I39)</f>
        <v>8.2912975255010082E-2</v>
      </c>
      <c r="P39" s="67">
        <f>AVERAGE(C39:F39,I39)</f>
        <v>1.7271838554229046E-2</v>
      </c>
    </row>
    <row r="40" spans="1:16" x14ac:dyDescent="0.3">
      <c r="A40" s="43" t="s">
        <v>129</v>
      </c>
      <c r="B40" s="81">
        <f t="shared" ref="B40:N40" si="29">+IFERROR(B38/B$18,"nm")</f>
        <v>0.26528384279475981</v>
      </c>
      <c r="C40" s="81">
        <f t="shared" si="29"/>
        <v>0.25487672717420751</v>
      </c>
      <c r="D40" s="81">
        <f t="shared" si="29"/>
        <v>0.25466614090431128</v>
      </c>
      <c r="E40" s="81">
        <f t="shared" si="29"/>
        <v>0.24234264557388085</v>
      </c>
      <c r="F40" s="81">
        <f t="shared" si="29"/>
        <v>0.2468242988303358</v>
      </c>
      <c r="G40" s="81">
        <f t="shared" si="29"/>
        <v>0.20015189174261253</v>
      </c>
      <c r="H40" s="81">
        <f t="shared" si="29"/>
        <v>0.29623377379358518</v>
      </c>
      <c r="I40" s="81">
        <f t="shared" si="29"/>
        <v>0.27864654279954232</v>
      </c>
      <c r="J40" s="82">
        <f t="shared" si="29"/>
        <v>0.27099914785852702</v>
      </c>
      <c r="K40" s="81">
        <f t="shared" si="29"/>
        <v>0.26352874856883801</v>
      </c>
      <c r="L40" s="81">
        <f t="shared" si="29"/>
        <v>0.25623371449595983</v>
      </c>
      <c r="M40" s="81">
        <f t="shared" si="29"/>
        <v>0.24911221074879347</v>
      </c>
      <c r="N40" s="81">
        <f t="shared" si="29"/>
        <v>0.24216222035375293</v>
      </c>
      <c r="O40" s="96">
        <f>AVERAGE(C40:I40)</f>
        <v>0.25339171725978221</v>
      </c>
      <c r="P40" s="67">
        <f>AVERAGE(C40:F40,I40)</f>
        <v>0.25547127105645556</v>
      </c>
    </row>
    <row r="41" spans="1:16" x14ac:dyDescent="0.3">
      <c r="A41" s="9" t="s">
        <v>133</v>
      </c>
      <c r="B41" s="9">
        <f>[2]Historicals!B159</f>
        <v>208</v>
      </c>
      <c r="C41" s="9">
        <f>[2]Historicals!C159</f>
        <v>242</v>
      </c>
      <c r="D41" s="9">
        <f>[2]Historicals!D159</f>
        <v>223</v>
      </c>
      <c r="E41" s="9">
        <f>[2]Historicals!E159</f>
        <v>196</v>
      </c>
      <c r="F41" s="9">
        <f>[2]Historicals!F159</f>
        <v>117</v>
      </c>
      <c r="G41" s="9">
        <f>[2]Historicals!G159</f>
        <v>110</v>
      </c>
      <c r="H41" s="9">
        <f>[2]Historicals!H159</f>
        <v>98</v>
      </c>
      <c r="I41" s="9">
        <f>[2]Historicals!I159</f>
        <v>146</v>
      </c>
      <c r="J41" s="78">
        <f>I41*(1+$P$42)</f>
        <v>147.47774199186173</v>
      </c>
      <c r="K41" s="44">
        <f>J41*(1+$P$42)</f>
        <v>148.97044097957627</v>
      </c>
      <c r="L41" s="44">
        <f>K41*(1+$P$42)</f>
        <v>150.47824835068366</v>
      </c>
      <c r="M41" s="44">
        <f>L41*(1+$P$42)</f>
        <v>152.00131702499601</v>
      </c>
      <c r="N41" s="44">
        <f>M41*(1+$P$42)</f>
        <v>153.53980147010645</v>
      </c>
      <c r="O41" s="96"/>
      <c r="P41" s="67"/>
    </row>
    <row r="42" spans="1:16" x14ac:dyDescent="0.3">
      <c r="A42" s="43" t="s">
        <v>127</v>
      </c>
      <c r="B42" s="81" t="str">
        <f t="shared" ref="B42:N42" si="30">+IFERROR(B41/A41-1,"nm")</f>
        <v>nm</v>
      </c>
      <c r="C42" s="81">
        <f t="shared" si="30"/>
        <v>0.16346153846153855</v>
      </c>
      <c r="D42" s="81">
        <f t="shared" si="30"/>
        <v>-7.8512396694214837E-2</v>
      </c>
      <c r="E42" s="81">
        <f t="shared" si="30"/>
        <v>-0.12107623318385652</v>
      </c>
      <c r="F42" s="81">
        <f t="shared" si="30"/>
        <v>-0.40306122448979587</v>
      </c>
      <c r="G42" s="81">
        <f t="shared" si="30"/>
        <v>-5.9829059829059839E-2</v>
      </c>
      <c r="H42" s="81">
        <f t="shared" si="30"/>
        <v>-0.10909090909090913</v>
      </c>
      <c r="I42" s="81">
        <f t="shared" si="30"/>
        <v>0.48979591836734704</v>
      </c>
      <c r="J42" s="82">
        <f t="shared" si="30"/>
        <v>1.0121520492203606E-2</v>
      </c>
      <c r="K42" s="81">
        <f t="shared" si="30"/>
        <v>1.0121520492203606E-2</v>
      </c>
      <c r="L42" s="81">
        <f t="shared" si="30"/>
        <v>1.0121520492203606E-2</v>
      </c>
      <c r="M42" s="81">
        <f t="shared" si="30"/>
        <v>1.0121520492203606E-2</v>
      </c>
      <c r="N42" s="81">
        <f t="shared" si="30"/>
        <v>1.0121520492203606E-2</v>
      </c>
      <c r="O42" s="96">
        <f>AVERAGE(C42:I42)</f>
        <v>-1.6901766636992943E-2</v>
      </c>
      <c r="P42" s="67">
        <f>AVERAGE(C42:F42,I42)</f>
        <v>1.0121520492203672E-2</v>
      </c>
    </row>
    <row r="43" spans="1:16" x14ac:dyDescent="0.3">
      <c r="A43" s="43" t="s">
        <v>131</v>
      </c>
      <c r="B43" s="81">
        <f t="shared" ref="B43:N43" si="31">+IFERROR(B41/B$18,"nm")</f>
        <v>1.5138282387190683E-2</v>
      </c>
      <c r="C43" s="81">
        <f t="shared" si="31"/>
        <v>1.6391221891086428E-2</v>
      </c>
      <c r="D43" s="81">
        <f t="shared" si="31"/>
        <v>1.4655625657202945E-2</v>
      </c>
      <c r="E43" s="81">
        <f t="shared" si="31"/>
        <v>1.3194210703466847E-2</v>
      </c>
      <c r="F43" s="81">
        <f t="shared" si="31"/>
        <v>7.3575650861526856E-3</v>
      </c>
      <c r="G43" s="81">
        <f t="shared" si="31"/>
        <v>7.5945871306268989E-3</v>
      </c>
      <c r="H43" s="81">
        <f t="shared" si="31"/>
        <v>5.7046393852960009E-3</v>
      </c>
      <c r="I43" s="81">
        <f t="shared" si="31"/>
        <v>7.9551027080041418E-3</v>
      </c>
      <c r="J43" s="82">
        <f t="shared" si="31"/>
        <v>7.6823954596642111E-3</v>
      </c>
      <c r="K43" s="81">
        <f t="shared" si="31"/>
        <v>7.4181111345207676E-3</v>
      </c>
      <c r="L43" s="81">
        <f t="shared" si="31"/>
        <v>7.1620642050523649E-3</v>
      </c>
      <c r="M43" s="81">
        <f t="shared" si="31"/>
        <v>6.9140665478616874E-3</v>
      </c>
      <c r="N43" s="81">
        <f t="shared" si="31"/>
        <v>6.6739282171335733E-3</v>
      </c>
      <c r="O43" s="96">
        <f>AVERAGE(C43:I43)</f>
        <v>1.040756465169085E-2</v>
      </c>
      <c r="P43" s="67">
        <f>AVERAGE(C43:F43,I43)</f>
        <v>1.1910745209182609E-2</v>
      </c>
    </row>
    <row r="44" spans="1:16" x14ac:dyDescent="0.3">
      <c r="A44" s="92" t="s">
        <v>199</v>
      </c>
      <c r="B44" s="93"/>
      <c r="C44" s="93"/>
      <c r="D44" s="93"/>
      <c r="E44" s="93"/>
      <c r="F44" s="93"/>
      <c r="G44" s="93"/>
      <c r="H44" s="93"/>
      <c r="I44" s="93"/>
      <c r="J44" s="74"/>
      <c r="K44" s="75"/>
      <c r="L44" s="75"/>
      <c r="M44" s="75"/>
      <c r="N44" s="75"/>
      <c r="O44" s="94"/>
      <c r="P44" s="95"/>
    </row>
    <row r="45" spans="1:16" x14ac:dyDescent="0.3">
      <c r="A45" s="9" t="s">
        <v>134</v>
      </c>
      <c r="B45" s="101">
        <f>+[1]Historicals!B114</f>
        <v>7126</v>
      </c>
      <c r="C45" s="101">
        <f>+[1]Historicals!C114</f>
        <v>7568</v>
      </c>
      <c r="D45" s="101">
        <f>+[1]Historicals!D114</f>
        <v>7970</v>
      </c>
      <c r="E45" s="101">
        <f>+[1]Historicals!E114</f>
        <v>9242</v>
      </c>
      <c r="F45" s="101">
        <f>+[1]Historicals!F114</f>
        <v>9812</v>
      </c>
      <c r="G45" s="101">
        <f>+[1]Historicals!G114</f>
        <v>9347</v>
      </c>
      <c r="H45" s="101">
        <f>+[1]Historicals!H114</f>
        <v>11456</v>
      </c>
      <c r="I45" s="101">
        <f>+[1]Historicals!I114</f>
        <v>12479</v>
      </c>
      <c r="J45" s="78">
        <f>SUM(J47,J51,J55)</f>
        <v>13570.742925854589</v>
      </c>
      <c r="K45" s="166">
        <f t="shared" ref="K45:N45" si="32">SUM(K47,K51,K55)</f>
        <v>14763.26692711465</v>
      </c>
      <c r="L45" s="166">
        <f t="shared" si="32"/>
        <v>16066.367494111881</v>
      </c>
      <c r="M45" s="166">
        <f t="shared" si="32"/>
        <v>17490.835959006832</v>
      </c>
      <c r="N45" s="166">
        <f t="shared" si="32"/>
        <v>19048.564443598094</v>
      </c>
      <c r="O45" s="96"/>
      <c r="P45" s="67"/>
    </row>
    <row r="46" spans="1:16" x14ac:dyDescent="0.3">
      <c r="A46" s="41" t="s">
        <v>127</v>
      </c>
      <c r="B46" s="81" t="str">
        <f t="shared" ref="B46:N46" si="33">+IFERROR(B45/A45-1,"nm")</f>
        <v>nm</v>
      </c>
      <c r="C46" s="81">
        <f t="shared" si="33"/>
        <v>6.2026382262138746E-2</v>
      </c>
      <c r="D46" s="81">
        <f t="shared" si="33"/>
        <v>5.3118393234672379E-2</v>
      </c>
      <c r="E46" s="81">
        <f t="shared" si="33"/>
        <v>0.15959849435382689</v>
      </c>
      <c r="F46" s="81">
        <f t="shared" si="33"/>
        <v>6.1674962129409261E-2</v>
      </c>
      <c r="G46" s="81">
        <f t="shared" si="33"/>
        <v>-4.7390949857317621E-2</v>
      </c>
      <c r="H46" s="81">
        <f t="shared" si="33"/>
        <v>0.22563389322777372</v>
      </c>
      <c r="I46" s="81">
        <f t="shared" si="33"/>
        <v>8.9298184357541999E-2</v>
      </c>
      <c r="J46" s="82">
        <f t="shared" si="33"/>
        <v>8.7486411239249051E-2</v>
      </c>
      <c r="K46" s="81">
        <f t="shared" si="33"/>
        <v>8.7874629102884239E-2</v>
      </c>
      <c r="L46" s="81">
        <f t="shared" si="33"/>
        <v>8.8266409693095627E-2</v>
      </c>
      <c r="M46" s="81">
        <f t="shared" si="33"/>
        <v>8.8661513899579436E-2</v>
      </c>
      <c r="N46" s="81">
        <f t="shared" si="33"/>
        <v>8.9059693215470137E-2</v>
      </c>
      <c r="O46" s="96">
        <f>AVERAGE(C46:I46)</f>
        <v>8.627990852972077E-2</v>
      </c>
      <c r="P46" s="67">
        <f>AVERAGE(C46:F46,I46)</f>
        <v>8.5143283267517855E-2</v>
      </c>
    </row>
    <row r="47" spans="1:16" x14ac:dyDescent="0.3">
      <c r="A47" s="42" t="s">
        <v>112</v>
      </c>
      <c r="B47" s="102">
        <f>+[1]Historicals!B115</f>
        <v>4703</v>
      </c>
      <c r="C47" s="102">
        <f>+[1]Historicals!C115</f>
        <v>5043</v>
      </c>
      <c r="D47" s="102">
        <f>+[1]Historicals!D115</f>
        <v>5192</v>
      </c>
      <c r="E47" s="102">
        <f>+[1]Historicals!E115</f>
        <v>5875</v>
      </c>
      <c r="F47" s="102">
        <f>+[1]Historicals!F115</f>
        <v>6293</v>
      </c>
      <c r="G47" s="102">
        <f>+[1]Historicals!G115</f>
        <v>5892</v>
      </c>
      <c r="H47" s="102">
        <f>+[1]Historicals!H115</f>
        <v>6970</v>
      </c>
      <c r="I47" s="102">
        <f>+[1]Historicals!I115</f>
        <v>7388</v>
      </c>
      <c r="J47" s="78">
        <f>I47*(1+$P$48)</f>
        <v>7926.5984443744755</v>
      </c>
      <c r="K47" s="44">
        <f>J47*(1+$P$48)</f>
        <v>8504.4616808824921</v>
      </c>
      <c r="L47" s="44">
        <f>K47*(1+$P$48)</f>
        <v>9124.452183260084</v>
      </c>
      <c r="M47" s="44">
        <f>L47*(1+$P$48)</f>
        <v>9789.641104710161</v>
      </c>
      <c r="N47" s="44">
        <f>M47*(1+$P$48)</f>
        <v>10503.323491009744</v>
      </c>
      <c r="O47" s="96"/>
      <c r="P47" s="67"/>
    </row>
    <row r="48" spans="1:16" x14ac:dyDescent="0.3">
      <c r="A48" s="41" t="s">
        <v>127</v>
      </c>
      <c r="B48" s="81" t="str">
        <f t="shared" ref="B48:N48" si="34">+IFERROR(B47/A47-1,"nm")</f>
        <v>nm</v>
      </c>
      <c r="C48" s="81">
        <f t="shared" si="34"/>
        <v>7.2294280246651077E-2</v>
      </c>
      <c r="D48" s="81">
        <f t="shared" si="34"/>
        <v>2.9545905215149659E-2</v>
      </c>
      <c r="E48" s="81">
        <f t="shared" si="34"/>
        <v>0.1315485362095532</v>
      </c>
      <c r="F48" s="81">
        <f t="shared" si="34"/>
        <v>7.1148936170212673E-2</v>
      </c>
      <c r="G48" s="81">
        <f t="shared" si="34"/>
        <v>-6.3721595423486432E-2</v>
      </c>
      <c r="H48" s="81">
        <f t="shared" si="34"/>
        <v>0.18295994568907004</v>
      </c>
      <c r="I48" s="81">
        <f t="shared" si="34"/>
        <v>5.9971305595408975E-2</v>
      </c>
      <c r="J48" s="82">
        <f t="shared" si="34"/>
        <v>7.2901792687395162E-2</v>
      </c>
      <c r="K48" s="81">
        <f t="shared" si="34"/>
        <v>7.2901792687395162E-2</v>
      </c>
      <c r="L48" s="81">
        <f t="shared" si="34"/>
        <v>7.2901792687395162E-2</v>
      </c>
      <c r="M48" s="81">
        <f t="shared" si="34"/>
        <v>7.2901792687395162E-2</v>
      </c>
      <c r="N48" s="81">
        <f t="shared" si="34"/>
        <v>7.2901792687395162E-2</v>
      </c>
      <c r="O48" s="96">
        <f>AVERAGE(C48:I48)</f>
        <v>6.9106759100365595E-2</v>
      </c>
      <c r="P48" s="67">
        <f>AVERAGE(C48:F48,I48)</f>
        <v>7.290179268739512E-2</v>
      </c>
    </row>
    <row r="49" spans="1:22" x14ac:dyDescent="0.3">
      <c r="A49" s="41" t="s">
        <v>135</v>
      </c>
      <c r="B49" s="81">
        <f>+[1]Historicals!B187</f>
        <v>0.24</v>
      </c>
      <c r="C49" s="81">
        <f>+[1]Historicals!C187</f>
        <v>0.19</v>
      </c>
      <c r="D49" s="81">
        <f>+[1]Historicals!D187</f>
        <v>0.03</v>
      </c>
      <c r="E49" s="81">
        <f>+[1]Historicals!E187</f>
        <v>0.06</v>
      </c>
      <c r="F49" s="81">
        <f>+[1]Historicals!F187</f>
        <v>0.12</v>
      </c>
      <c r="G49" s="81">
        <f>+[1]Historicals!G187</f>
        <v>-0.03</v>
      </c>
      <c r="H49" s="81">
        <f>+[1]Historicals!H187</f>
        <v>0.13</v>
      </c>
      <c r="I49" s="81">
        <f>+[1]Historicals!I187</f>
        <v>0.09</v>
      </c>
      <c r="J49" s="82">
        <f>$P$49</f>
        <v>9.8000000000000004E-2</v>
      </c>
      <c r="K49" s="81">
        <f>$P$49</f>
        <v>9.8000000000000004E-2</v>
      </c>
      <c r="L49" s="81">
        <f>$P$49</f>
        <v>9.8000000000000004E-2</v>
      </c>
      <c r="M49" s="81">
        <f>$P$49</f>
        <v>9.8000000000000004E-2</v>
      </c>
      <c r="N49" s="81">
        <f>$P$49</f>
        <v>9.8000000000000004E-2</v>
      </c>
      <c r="O49" s="96">
        <f>AVERAGE(C49:I49)</f>
        <v>8.4285714285714283E-2</v>
      </c>
      <c r="P49" s="67">
        <f>AVERAGE(C49:F49,I49)</f>
        <v>9.8000000000000004E-2</v>
      </c>
    </row>
    <row r="50" spans="1:22" x14ac:dyDescent="0.3">
      <c r="A50" s="41" t="s">
        <v>136</v>
      </c>
      <c r="B50" s="81" t="str">
        <f t="shared" ref="B50:N50" si="35">+IFERROR(B48-B49,"nm")</f>
        <v>nm</v>
      </c>
      <c r="C50" s="81">
        <f t="shared" si="35"/>
        <v>-0.11770571975334893</v>
      </c>
      <c r="D50" s="81">
        <f t="shared" si="35"/>
        <v>-4.5409478485033961E-4</v>
      </c>
      <c r="E50" s="81">
        <f t="shared" si="35"/>
        <v>7.1548536209553204E-2</v>
      </c>
      <c r="F50" s="81">
        <f t="shared" si="35"/>
        <v>-4.8851063829787322E-2</v>
      </c>
      <c r="G50" s="81">
        <f t="shared" si="35"/>
        <v>-3.3721595423486433E-2</v>
      </c>
      <c r="H50" s="81">
        <f t="shared" si="35"/>
        <v>5.2959945689070032E-2</v>
      </c>
      <c r="I50" s="81">
        <f t="shared" si="35"/>
        <v>-3.0028694404591022E-2</v>
      </c>
      <c r="J50" s="82">
        <f t="shared" si="35"/>
        <v>-2.5098207312604842E-2</v>
      </c>
      <c r="K50" s="81">
        <f t="shared" si="35"/>
        <v>-2.5098207312604842E-2</v>
      </c>
      <c r="L50" s="81">
        <f t="shared" si="35"/>
        <v>-2.5098207312604842E-2</v>
      </c>
      <c r="M50" s="81">
        <f t="shared" si="35"/>
        <v>-2.5098207312604842E-2</v>
      </c>
      <c r="N50" s="81">
        <f t="shared" si="35"/>
        <v>-2.5098207312604842E-2</v>
      </c>
      <c r="O50" s="96">
        <f>AVERAGE(C50:I50)</f>
        <v>-1.5178955185348687E-2</v>
      </c>
      <c r="P50" s="67">
        <f>AVERAGE(C50:F50,I50)</f>
        <v>-2.509820731260488E-2</v>
      </c>
    </row>
    <row r="51" spans="1:22" x14ac:dyDescent="0.3">
      <c r="A51" s="42" t="s">
        <v>113</v>
      </c>
      <c r="B51" s="102">
        <f>+[1]Historicals!B116</f>
        <v>2051</v>
      </c>
      <c r="C51" s="102">
        <f>+[1]Historicals!C116</f>
        <v>2149</v>
      </c>
      <c r="D51" s="102">
        <f>+[1]Historicals!D116</f>
        <v>2395</v>
      </c>
      <c r="E51" s="102">
        <f>+[1]Historicals!E116</f>
        <v>2940</v>
      </c>
      <c r="F51" s="102">
        <f>+[1]Historicals!F116</f>
        <v>3087</v>
      </c>
      <c r="G51" s="102">
        <f>+[1]Historicals!G116</f>
        <v>3053</v>
      </c>
      <c r="H51" s="102">
        <f>+[1]Historicals!H116</f>
        <v>3996</v>
      </c>
      <c r="I51" s="102">
        <f>+[1]Historicals!I116</f>
        <v>4527</v>
      </c>
      <c r="J51" s="78">
        <f>I51*(1+$P$52)</f>
        <v>5045.5168863858617</v>
      </c>
      <c r="K51" s="44">
        <f>J51*(1+$P$52)</f>
        <v>5623.4240447989569</v>
      </c>
      <c r="L51" s="44">
        <f>K51*(1+$P$52)</f>
        <v>6267.5239623020589</v>
      </c>
      <c r="M51" s="44">
        <f>L51*(1+$P$52)</f>
        <v>6985.3982742706121</v>
      </c>
      <c r="N51" s="44">
        <f>M51*(1+$P$52)</f>
        <v>7785.4970070605323</v>
      </c>
      <c r="O51" s="96"/>
      <c r="P51" s="67"/>
    </row>
    <row r="52" spans="1:22" x14ac:dyDescent="0.3">
      <c r="A52" s="41" t="s">
        <v>127</v>
      </c>
      <c r="B52" s="81" t="str">
        <f t="shared" ref="B52:N52" si="36">+IFERROR(B51/A51-1,"nm")</f>
        <v>nm</v>
      </c>
      <c r="C52" s="81">
        <f t="shared" si="36"/>
        <v>4.7781569965870352E-2</v>
      </c>
      <c r="D52" s="81">
        <f t="shared" si="36"/>
        <v>0.11447184737087013</v>
      </c>
      <c r="E52" s="81">
        <f t="shared" si="36"/>
        <v>0.22755741127348639</v>
      </c>
      <c r="F52" s="81">
        <f t="shared" si="36"/>
        <v>5.0000000000000044E-2</v>
      </c>
      <c r="G52" s="81">
        <f t="shared" si="36"/>
        <v>-1.1013929381276322E-2</v>
      </c>
      <c r="H52" s="81">
        <f t="shared" si="36"/>
        <v>0.30887651490337364</v>
      </c>
      <c r="I52" s="81">
        <f t="shared" si="36"/>
        <v>0.13288288288288297</v>
      </c>
      <c r="J52" s="82">
        <f t="shared" si="36"/>
        <v>0.11453874229862193</v>
      </c>
      <c r="K52" s="81">
        <f t="shared" si="36"/>
        <v>0.11453874229862193</v>
      </c>
      <c r="L52" s="81">
        <f t="shared" si="36"/>
        <v>0.11453874229862193</v>
      </c>
      <c r="M52" s="81">
        <f t="shared" si="36"/>
        <v>0.11453874229862193</v>
      </c>
      <c r="N52" s="81">
        <f t="shared" si="36"/>
        <v>0.11453874229862193</v>
      </c>
      <c r="O52" s="96">
        <f>AVERAGE(C52:I52)</f>
        <v>0.12436518528788675</v>
      </c>
      <c r="P52" s="67">
        <f>AVERAGE(C52:F52,I52)</f>
        <v>0.11453874229862197</v>
      </c>
      <c r="S52" s="140">
        <f t="shared" ref="S52:U52" si="37">-L52</f>
        <v>-0.11453874229862193</v>
      </c>
      <c r="T52" s="140">
        <f t="shared" si="37"/>
        <v>-0.11453874229862193</v>
      </c>
      <c r="U52" s="140">
        <f t="shared" si="37"/>
        <v>-0.11453874229862193</v>
      </c>
      <c r="V52" s="141"/>
    </row>
    <row r="53" spans="1:22" x14ac:dyDescent="0.3">
      <c r="A53" s="41" t="s">
        <v>135</v>
      </c>
      <c r="B53" s="81">
        <f>+[1]Historicals!B188</f>
        <v>0.1</v>
      </c>
      <c r="C53" s="81">
        <f>+[1]Historicals!C188</f>
        <v>0.13</v>
      </c>
      <c r="D53" s="81">
        <f>+[1]Historicals!D188</f>
        <v>0.11</v>
      </c>
      <c r="E53" s="81">
        <f>+[1]Historicals!E188</f>
        <v>0.16</v>
      </c>
      <c r="F53" s="81">
        <f>+[1]Historicals!F188</f>
        <v>0.09</v>
      </c>
      <c r="G53" s="81">
        <f>+[1]Historicals!G188</f>
        <v>0.02</v>
      </c>
      <c r="H53" s="81">
        <f>+[1]Historicals!H188</f>
        <v>0.25</v>
      </c>
      <c r="I53" s="81">
        <f>+[1]Historicals!I188</f>
        <v>0.16</v>
      </c>
      <c r="J53" s="97">
        <f>$P$53</f>
        <v>0.13</v>
      </c>
      <c r="K53" s="98">
        <f>$P$53</f>
        <v>0.13</v>
      </c>
      <c r="L53" s="98">
        <f>$P$53</f>
        <v>0.13</v>
      </c>
      <c r="M53" s="98">
        <f>$P$53</f>
        <v>0.13</v>
      </c>
      <c r="N53" s="98">
        <f>$P$53</f>
        <v>0.13</v>
      </c>
      <c r="O53" s="96">
        <f>AVERAGE(C53:I53)</f>
        <v>0.13142857142857142</v>
      </c>
      <c r="P53" s="67">
        <f>AVERAGE(C53:F53,I53)</f>
        <v>0.13</v>
      </c>
    </row>
    <row r="54" spans="1:22" x14ac:dyDescent="0.3">
      <c r="A54" s="41" t="s">
        <v>136</v>
      </c>
      <c r="B54" s="81" t="str">
        <f t="shared" ref="B54:N54" si="38">+IFERROR(B52-B53,"nm")</f>
        <v>nm</v>
      </c>
      <c r="C54" s="81">
        <f t="shared" si="38"/>
        <v>-8.2218430034129653E-2</v>
      </c>
      <c r="D54" s="81">
        <f t="shared" si="38"/>
        <v>4.4718473708701273E-3</v>
      </c>
      <c r="E54" s="81">
        <f t="shared" si="38"/>
        <v>6.7557411273486384E-2</v>
      </c>
      <c r="F54" s="81">
        <f t="shared" si="38"/>
        <v>-3.9999999999999952E-2</v>
      </c>
      <c r="G54" s="81">
        <f t="shared" si="38"/>
        <v>-3.1013929381276322E-2</v>
      </c>
      <c r="H54" s="81">
        <f t="shared" si="38"/>
        <v>5.8876514903373645E-2</v>
      </c>
      <c r="I54" s="81">
        <f t="shared" si="38"/>
        <v>-2.7117117117117034E-2</v>
      </c>
      <c r="J54" s="82">
        <f t="shared" si="38"/>
        <v>-1.5461257701378073E-2</v>
      </c>
      <c r="K54" s="81">
        <f t="shared" si="38"/>
        <v>-1.5461257701378073E-2</v>
      </c>
      <c r="L54" s="81">
        <f t="shared" si="38"/>
        <v>-1.5461257701378073E-2</v>
      </c>
      <c r="M54" s="81">
        <f t="shared" si="38"/>
        <v>-1.5461257701378073E-2</v>
      </c>
      <c r="N54" s="81">
        <f t="shared" si="38"/>
        <v>-1.5461257701378073E-2</v>
      </c>
      <c r="O54" s="96">
        <f>AVERAGE(C54:I54)</f>
        <v>-7.0633861406846866E-3</v>
      </c>
      <c r="P54" s="67">
        <f>AVERAGE(C54:F54,I54)</f>
        <v>-1.5461257701378026E-2</v>
      </c>
    </row>
    <row r="55" spans="1:22" x14ac:dyDescent="0.3">
      <c r="A55" s="42" t="s">
        <v>114</v>
      </c>
      <c r="B55" s="103">
        <f>+[1]Historicals!B117</f>
        <v>372</v>
      </c>
      <c r="C55" s="103">
        <f>+[1]Historicals!C117</f>
        <v>376</v>
      </c>
      <c r="D55" s="103">
        <f>+[1]Historicals!D117</f>
        <v>383</v>
      </c>
      <c r="E55" s="103">
        <f>+[1]Historicals!E117</f>
        <v>427</v>
      </c>
      <c r="F55" s="103">
        <f>+[1]Historicals!F117</f>
        <v>432</v>
      </c>
      <c r="G55" s="103">
        <f>+[1]Historicals!G117</f>
        <v>402</v>
      </c>
      <c r="H55" s="103">
        <f>+[1]Historicals!H117</f>
        <v>490</v>
      </c>
      <c r="I55" s="103">
        <f>+[1]Historicals!I117</f>
        <v>564</v>
      </c>
      <c r="J55" s="78">
        <f>I55*(1+$P$56)</f>
        <v>598.62759509425007</v>
      </c>
      <c r="K55" s="44">
        <f>J55*(1+$P$56)</f>
        <v>635.38120143320111</v>
      </c>
      <c r="L55" s="44">
        <f>K55*(1+$P$56)</f>
        <v>674.39134854973838</v>
      </c>
      <c r="M55" s="44">
        <f>L55*(1+$P$56)</f>
        <v>715.79658002606038</v>
      </c>
      <c r="N55" s="44">
        <f>M55*(1+$P$56)</f>
        <v>759.74394552781814</v>
      </c>
      <c r="O55" s="96"/>
      <c r="P55" s="67"/>
    </row>
    <row r="56" spans="1:22" x14ac:dyDescent="0.3">
      <c r="A56" s="41" t="s">
        <v>127</v>
      </c>
      <c r="B56" s="81" t="str">
        <f t="shared" ref="B56:N56" si="39">+IFERROR(B55/A55-1,"nm")</f>
        <v>nm</v>
      </c>
      <c r="C56" s="81">
        <f t="shared" si="39"/>
        <v>1.0752688172043001E-2</v>
      </c>
      <c r="D56" s="81">
        <f t="shared" si="39"/>
        <v>1.8617021276595702E-2</v>
      </c>
      <c r="E56" s="81">
        <f t="shared" si="39"/>
        <v>0.11488250652741505</v>
      </c>
      <c r="F56" s="81">
        <f t="shared" si="39"/>
        <v>1.1709601873536313E-2</v>
      </c>
      <c r="G56" s="81">
        <f t="shared" si="39"/>
        <v>-6.944444444444442E-2</v>
      </c>
      <c r="H56" s="81">
        <f t="shared" si="39"/>
        <v>0.21890547263681581</v>
      </c>
      <c r="I56" s="81">
        <f t="shared" si="39"/>
        <v>0.15102040816326534</v>
      </c>
      <c r="J56" s="82">
        <f t="shared" si="39"/>
        <v>6.1396445202571037E-2</v>
      </c>
      <c r="K56" s="81">
        <f t="shared" si="39"/>
        <v>6.1396445202571037E-2</v>
      </c>
      <c r="L56" s="81">
        <f t="shared" si="39"/>
        <v>6.1396445202571037E-2</v>
      </c>
      <c r="M56" s="81">
        <f t="shared" si="39"/>
        <v>6.1396445202571037E-2</v>
      </c>
      <c r="N56" s="81">
        <f t="shared" si="39"/>
        <v>6.1396445202571037E-2</v>
      </c>
      <c r="O56" s="96">
        <f>AVERAGE(C56:I56)</f>
        <v>6.5206179172175263E-2</v>
      </c>
      <c r="P56" s="67">
        <f>AVERAGE(C56:F56,I56)</f>
        <v>6.1396445202571079E-2</v>
      </c>
    </row>
    <row r="57" spans="1:22" x14ac:dyDescent="0.3">
      <c r="A57" s="41" t="s">
        <v>135</v>
      </c>
      <c r="B57" s="81">
        <f>+[1]Historicals!B189</f>
        <v>0.15</v>
      </c>
      <c r="C57" s="81">
        <f>+[1]Historicals!C189</f>
        <v>-0.06</v>
      </c>
      <c r="D57" s="81">
        <f>+[1]Historicals!D189</f>
        <v>0.02</v>
      </c>
      <c r="E57" s="81">
        <f>+[1]Historicals!E189</f>
        <v>0.06</v>
      </c>
      <c r="F57" s="81">
        <f>+[1]Historicals!F189</f>
        <v>0.05</v>
      </c>
      <c r="G57" s="81">
        <f>+[1]Historicals!G189</f>
        <v>-0.03</v>
      </c>
      <c r="H57" s="81">
        <f>+[1]Historicals!H189</f>
        <v>0.19</v>
      </c>
      <c r="I57" s="81">
        <f>+[1]Historicals!I189</f>
        <v>0.17</v>
      </c>
      <c r="J57" s="97">
        <f>$P$57</f>
        <v>4.8000000000000001E-2</v>
      </c>
      <c r="K57" s="98">
        <f>$P$57</f>
        <v>4.8000000000000001E-2</v>
      </c>
      <c r="L57" s="98">
        <f>$P$57</f>
        <v>4.8000000000000001E-2</v>
      </c>
      <c r="M57" s="98">
        <f>$P$57</f>
        <v>4.8000000000000001E-2</v>
      </c>
      <c r="N57" s="98">
        <f>$P$57</f>
        <v>4.8000000000000001E-2</v>
      </c>
      <c r="O57" s="96">
        <f>AVERAGE(C57:I57)</f>
        <v>5.7142857142857148E-2</v>
      </c>
      <c r="P57" s="67">
        <f>AVERAGE(C57:F57,I57)</f>
        <v>4.8000000000000001E-2</v>
      </c>
    </row>
    <row r="58" spans="1:22" x14ac:dyDescent="0.3">
      <c r="A58" s="41" t="s">
        <v>136</v>
      </c>
      <c r="B58" s="81" t="str">
        <f t="shared" ref="B58:N58" si="40">+IFERROR(B56-B57,"nm")</f>
        <v>nm</v>
      </c>
      <c r="C58" s="81">
        <f t="shared" si="40"/>
        <v>7.0752688172042999E-2</v>
      </c>
      <c r="D58" s="81">
        <f t="shared" si="40"/>
        <v>-1.3829787234042983E-3</v>
      </c>
      <c r="E58" s="81">
        <f t="shared" si="40"/>
        <v>5.4882506527415054E-2</v>
      </c>
      <c r="F58" s="81">
        <f t="shared" si="40"/>
        <v>-3.829039812646369E-2</v>
      </c>
      <c r="G58" s="81">
        <f t="shared" si="40"/>
        <v>-3.9444444444444421E-2</v>
      </c>
      <c r="H58" s="81">
        <f t="shared" si="40"/>
        <v>2.890547263681581E-2</v>
      </c>
      <c r="I58" s="81">
        <f t="shared" si="40"/>
        <v>-1.8979591836734672E-2</v>
      </c>
      <c r="J58" s="82">
        <f t="shared" si="40"/>
        <v>1.3396445202571036E-2</v>
      </c>
      <c r="K58" s="81">
        <f t="shared" si="40"/>
        <v>1.3396445202571036E-2</v>
      </c>
      <c r="L58" s="81">
        <f t="shared" si="40"/>
        <v>1.3396445202571036E-2</v>
      </c>
      <c r="M58" s="81">
        <f t="shared" si="40"/>
        <v>1.3396445202571036E-2</v>
      </c>
      <c r="N58" s="81">
        <f t="shared" si="40"/>
        <v>1.3396445202571036E-2</v>
      </c>
      <c r="O58" s="96">
        <f>AVERAGE(C58:I58)</f>
        <v>8.0633220293181117E-3</v>
      </c>
      <c r="P58" s="67">
        <f>AVERAGE(C58:F58,I58)</f>
        <v>1.3396445202571078E-2</v>
      </c>
    </row>
    <row r="59" spans="1:22" x14ac:dyDescent="0.3">
      <c r="A59" s="9" t="s">
        <v>128</v>
      </c>
      <c r="B59" s="101">
        <f>+[1]Historicals!B138+[1]Historicals!B171</f>
        <v>1611</v>
      </c>
      <c r="C59" s="101">
        <f>+[1]Historicals!C138+[1]Historicals!C171</f>
        <v>1872</v>
      </c>
      <c r="D59" s="101">
        <f>+[1]Historicals!D138+[1]Historicals!D171</f>
        <v>1613</v>
      </c>
      <c r="E59" s="101">
        <f>+[1]Historicals!E138+[1]Historicals!E171</f>
        <v>1703</v>
      </c>
      <c r="F59" s="101">
        <f>+[1]Historicals!F138+[1]Historicals!F171</f>
        <v>2106</v>
      </c>
      <c r="G59" s="101">
        <f>+[1]Historicals!G138+[1]Historicals!G171</f>
        <v>1673</v>
      </c>
      <c r="H59" s="101">
        <f>+[1]Historicals!H138+[1]Historicals!H171</f>
        <v>2571</v>
      </c>
      <c r="I59" s="101">
        <f>+[1]Historicals!I138+[1]Historicals!I171</f>
        <v>3427</v>
      </c>
      <c r="J59" s="78">
        <f>I59*(1+$P$60)</f>
        <v>3871.8511424737358</v>
      </c>
      <c r="K59" s="44">
        <f>J59*(1+$P$60)</f>
        <v>4374.4474086592281</v>
      </c>
      <c r="L59" s="44">
        <f>K59*(1+$P$60)</f>
        <v>4942.28456285629</v>
      </c>
      <c r="M59" s="44">
        <f>L59*(1+$P$60)</f>
        <v>5583.8313776263303</v>
      </c>
      <c r="N59" s="44">
        <f>M59*(1+$P$60)</f>
        <v>6308.6559378007596</v>
      </c>
      <c r="O59" s="96"/>
      <c r="P59" s="67"/>
    </row>
    <row r="60" spans="1:22" x14ac:dyDescent="0.3">
      <c r="A60" s="43" t="s">
        <v>127</v>
      </c>
      <c r="B60" s="81" t="str">
        <f t="shared" ref="B60:N60" si="41">+IFERROR(B59/A59-1,"nm")</f>
        <v>nm</v>
      </c>
      <c r="C60" s="81">
        <f t="shared" si="41"/>
        <v>0.16201117318435765</v>
      </c>
      <c r="D60" s="81">
        <f t="shared" si="41"/>
        <v>-0.13835470085470081</v>
      </c>
      <c r="E60" s="81">
        <f t="shared" si="41"/>
        <v>5.5796652200867936E-2</v>
      </c>
      <c r="F60" s="81">
        <f t="shared" si="41"/>
        <v>0.23664122137404586</v>
      </c>
      <c r="G60" s="81">
        <f t="shared" si="41"/>
        <v>-0.20560303893637222</v>
      </c>
      <c r="H60" s="81">
        <f t="shared" si="41"/>
        <v>0.53676031081888831</v>
      </c>
      <c r="I60" s="81">
        <f t="shared" si="41"/>
        <v>0.33294437961882539</v>
      </c>
      <c r="J60" s="82">
        <f t="shared" si="41"/>
        <v>0.1298077451046793</v>
      </c>
      <c r="K60" s="81">
        <f t="shared" si="41"/>
        <v>0.1298077451046793</v>
      </c>
      <c r="L60" s="81">
        <f t="shared" si="41"/>
        <v>0.1298077451046793</v>
      </c>
      <c r="M60" s="81">
        <f t="shared" si="41"/>
        <v>0.1298077451046793</v>
      </c>
      <c r="N60" s="81">
        <f t="shared" si="41"/>
        <v>0.1298077451046793</v>
      </c>
      <c r="O60" s="96">
        <f>AVERAGE(C60:I60)</f>
        <v>0.14002799962941601</v>
      </c>
      <c r="P60" s="67">
        <f>AVERAGE(C60:F60,I60)</f>
        <v>0.12980774510467921</v>
      </c>
    </row>
    <row r="61" spans="1:22" x14ac:dyDescent="0.3">
      <c r="A61" s="43" t="s">
        <v>129</v>
      </c>
      <c r="B61" s="81">
        <f t="shared" ref="B61:N61" si="42">+IFERROR(B59/B$18,"nm")</f>
        <v>0.11724890829694323</v>
      </c>
      <c r="C61" s="81">
        <f t="shared" si="42"/>
        <v>0.12679490652939582</v>
      </c>
      <c r="D61" s="81">
        <f t="shared" si="42"/>
        <v>0.10600683491062039</v>
      </c>
      <c r="E61" s="81">
        <f t="shared" si="42"/>
        <v>0.11464153483675531</v>
      </c>
      <c r="F61" s="81">
        <f t="shared" si="42"/>
        <v>0.13243617155074833</v>
      </c>
      <c r="G61" s="81">
        <f t="shared" si="42"/>
        <v>0.11550676608671638</v>
      </c>
      <c r="H61" s="81">
        <f t="shared" si="42"/>
        <v>0.14965946795506141</v>
      </c>
      <c r="I61" s="81">
        <f t="shared" si="42"/>
        <v>0.18672696561869995</v>
      </c>
      <c r="J61" s="82">
        <f t="shared" si="42"/>
        <v>0.20169207390683633</v>
      </c>
      <c r="K61" s="81">
        <f t="shared" si="42"/>
        <v>0.21782936813618903</v>
      </c>
      <c r="L61" s="81">
        <f t="shared" si="42"/>
        <v>0.235229740821575</v>
      </c>
      <c r="M61" s="81">
        <f t="shared" si="42"/>
        <v>0.25399110015999327</v>
      </c>
      <c r="N61" s="81">
        <f t="shared" si="42"/>
        <v>0.27421890918409925</v>
      </c>
      <c r="O61" s="96">
        <f>AVERAGE(C61:I61)</f>
        <v>0.13311037821257107</v>
      </c>
      <c r="P61" s="67">
        <f>AVERAGE(C61:F61,I61)</f>
        <v>0.13332128268924395</v>
      </c>
    </row>
    <row r="62" spans="1:22" x14ac:dyDescent="0.3">
      <c r="A62" s="9" t="s">
        <v>130</v>
      </c>
      <c r="B62" s="101">
        <f>+[1]Historicals!B171</f>
        <v>87</v>
      </c>
      <c r="C62" s="101">
        <f>+[1]Historicals!C171</f>
        <v>85</v>
      </c>
      <c r="D62" s="101">
        <f>+[1]Historicals!D171</f>
        <v>106</v>
      </c>
      <c r="E62" s="101">
        <f>+[1]Historicals!E171</f>
        <v>116</v>
      </c>
      <c r="F62" s="101">
        <f>+[1]Historicals!F171</f>
        <v>111</v>
      </c>
      <c r="G62" s="101">
        <f>+[1]Historicals!G171</f>
        <v>132</v>
      </c>
      <c r="H62" s="101">
        <f>+[1]Historicals!H171</f>
        <v>136</v>
      </c>
      <c r="I62" s="101">
        <f>+[1]Historicals!I171</f>
        <v>134</v>
      </c>
      <c r="J62" s="78">
        <f>I62*(1+$P$63)</f>
        <v>140.98409634250578</v>
      </c>
      <c r="K62" s="44">
        <f>J62*(1+$P$63)</f>
        <v>148.33220463815636</v>
      </c>
      <c r="L62" s="44">
        <f>K62*(1+$P$63)</f>
        <v>156.06329723434416</v>
      </c>
      <c r="M62" s="44">
        <f>L62*(1+$P$63)</f>
        <v>164.19733531952159</v>
      </c>
      <c r="N62" s="44">
        <f>M62*(1+$P$63)</f>
        <v>172.75532046171762</v>
      </c>
      <c r="O62" s="96"/>
      <c r="P62" s="67"/>
    </row>
    <row r="63" spans="1:22" x14ac:dyDescent="0.3">
      <c r="A63" s="43" t="s">
        <v>127</v>
      </c>
      <c r="B63" s="81" t="str">
        <f t="shared" ref="B63:N63" si="43">+IFERROR(B62/A62-1,"nm")</f>
        <v>nm</v>
      </c>
      <c r="C63" s="81">
        <f t="shared" si="43"/>
        <v>-2.2988505747126409E-2</v>
      </c>
      <c r="D63" s="81">
        <f t="shared" si="43"/>
        <v>0.24705882352941178</v>
      </c>
      <c r="E63" s="81">
        <f t="shared" si="43"/>
        <v>9.4339622641509413E-2</v>
      </c>
      <c r="F63" s="81">
        <f t="shared" si="43"/>
        <v>-4.31034482758621E-2</v>
      </c>
      <c r="G63" s="81">
        <f t="shared" si="43"/>
        <v>0.18918918918918926</v>
      </c>
      <c r="H63" s="81">
        <f t="shared" si="43"/>
        <v>3.0303030303030276E-2</v>
      </c>
      <c r="I63" s="81">
        <f t="shared" si="43"/>
        <v>-1.4705882352941124E-2</v>
      </c>
      <c r="J63" s="82">
        <f t="shared" si="43"/>
        <v>5.21201219589984E-2</v>
      </c>
      <c r="K63" s="81">
        <f t="shared" si="43"/>
        <v>5.21201219589984E-2</v>
      </c>
      <c r="L63" s="81">
        <f t="shared" si="43"/>
        <v>5.21201219589984E-2</v>
      </c>
      <c r="M63" s="81">
        <f t="shared" si="43"/>
        <v>5.21201219589984E-2</v>
      </c>
      <c r="N63" s="81">
        <f t="shared" si="43"/>
        <v>5.21201219589984E-2</v>
      </c>
      <c r="O63" s="96">
        <f>AVERAGE(C63:I63)</f>
        <v>6.8584689898173012E-2</v>
      </c>
      <c r="P63" s="67">
        <f>AVERAGE(C63:F63,I63)</f>
        <v>5.212012195899831E-2</v>
      </c>
    </row>
    <row r="64" spans="1:22" x14ac:dyDescent="0.3">
      <c r="A64" s="43" t="s">
        <v>131</v>
      </c>
      <c r="B64" s="81">
        <f t="shared" ref="B64:N64" si="44">+IFERROR(B62/B$18,"nm")</f>
        <v>6.3318777292576418E-3</v>
      </c>
      <c r="C64" s="81">
        <f t="shared" si="44"/>
        <v>5.7572473584394475E-3</v>
      </c>
      <c r="D64" s="81">
        <f t="shared" si="44"/>
        <v>6.9663512092534175E-3</v>
      </c>
      <c r="E64" s="81">
        <f t="shared" si="44"/>
        <v>7.808818579602827E-3</v>
      </c>
      <c r="F64" s="81">
        <f t="shared" si="44"/>
        <v>6.9802540560935733E-3</v>
      </c>
      <c r="G64" s="81">
        <f t="shared" si="44"/>
        <v>9.1135045567522777E-3</v>
      </c>
      <c r="H64" s="81">
        <f t="shared" si="44"/>
        <v>7.9166424122475119E-3</v>
      </c>
      <c r="I64" s="81">
        <f t="shared" si="44"/>
        <v>7.3012586498120199E-3</v>
      </c>
      <c r="J64" s="82">
        <f t="shared" si="44"/>
        <v>7.3441291343224972E-3</v>
      </c>
      <c r="K64" s="81">
        <f t="shared" si="44"/>
        <v>7.3863296073962562E-3</v>
      </c>
      <c r="L64" s="81">
        <f t="shared" si="44"/>
        <v>7.427886535731767E-3</v>
      </c>
      <c r="M64" s="81">
        <f t="shared" si="44"/>
        <v>7.4688254391509102E-3</v>
      </c>
      <c r="N64" s="81">
        <f t="shared" si="44"/>
        <v>7.5091708915221295E-3</v>
      </c>
      <c r="O64" s="96">
        <f>AVERAGE(C64:I64)</f>
        <v>7.4062966888858691E-3</v>
      </c>
      <c r="P64" s="67">
        <f>AVERAGE(C64:F64,I64)</f>
        <v>6.9627859706402565E-3</v>
      </c>
    </row>
    <row r="65" spans="1:17" x14ac:dyDescent="0.3">
      <c r="A65" s="9" t="s">
        <v>132</v>
      </c>
      <c r="B65" s="101">
        <f>+[1]Historicals!B138</f>
        <v>1524</v>
      </c>
      <c r="C65" s="101">
        <f>+[1]Historicals!C138</f>
        <v>1787</v>
      </c>
      <c r="D65" s="101">
        <f>+[1]Historicals!D138</f>
        <v>1507</v>
      </c>
      <c r="E65" s="101">
        <f>+[1]Historicals!E138</f>
        <v>1587</v>
      </c>
      <c r="F65" s="101">
        <f>+[1]Historicals!F138</f>
        <v>1995</v>
      </c>
      <c r="G65" s="101">
        <f>+[1]Historicals!G138</f>
        <v>1541</v>
      </c>
      <c r="H65" s="101">
        <f>+[1]Historicals!H138</f>
        <v>2435</v>
      </c>
      <c r="I65" s="101">
        <f>+[1]Historicals!I138</f>
        <v>3293</v>
      </c>
      <c r="J65" s="78">
        <f>I65*(1+$P$66)</f>
        <v>3739.8079632262802</v>
      </c>
      <c r="K65" s="44">
        <f>J65*(1+$P$66)</f>
        <v>4247.240692927634</v>
      </c>
      <c r="L65" s="44">
        <f>K65*(1+$P$66)</f>
        <v>4823.5240100666479</v>
      </c>
      <c r="M65" s="44">
        <f>L65*(1+$P$66)</f>
        <v>5477.9998492743425</v>
      </c>
      <c r="N65" s="44">
        <f>M65*(1+$P$66)</f>
        <v>6221.2776978039929</v>
      </c>
      <c r="O65" s="96"/>
      <c r="P65" s="67"/>
    </row>
    <row r="66" spans="1:17" x14ac:dyDescent="0.3">
      <c r="A66" s="43" t="s">
        <v>127</v>
      </c>
      <c r="B66" s="81" t="str">
        <f t="shared" ref="B66:N66" si="45">+IFERROR(B65/A65-1,"nm")</f>
        <v>nm</v>
      </c>
      <c r="C66" s="81">
        <f t="shared" si="45"/>
        <v>0.17257217847769035</v>
      </c>
      <c r="D66" s="81">
        <f t="shared" si="45"/>
        <v>-0.15668718522663683</v>
      </c>
      <c r="E66" s="81">
        <f t="shared" si="45"/>
        <v>5.3085600530855981E-2</v>
      </c>
      <c r="F66" s="81">
        <f t="shared" si="45"/>
        <v>0.25708884688090738</v>
      </c>
      <c r="G66" s="81">
        <f t="shared" si="45"/>
        <v>-0.22756892230576442</v>
      </c>
      <c r="H66" s="81">
        <f t="shared" si="45"/>
        <v>0.58014276443867629</v>
      </c>
      <c r="I66" s="81">
        <f t="shared" si="45"/>
        <v>0.3523613963039014</v>
      </c>
      <c r="J66" s="82">
        <f t="shared" si="45"/>
        <v>0.13568416739334355</v>
      </c>
      <c r="K66" s="81">
        <f t="shared" si="45"/>
        <v>0.13568416739334355</v>
      </c>
      <c r="L66" s="81">
        <f t="shared" si="45"/>
        <v>0.13568416739334355</v>
      </c>
      <c r="M66" s="81">
        <f t="shared" si="45"/>
        <v>0.13568416739334355</v>
      </c>
      <c r="N66" s="81">
        <f t="shared" si="45"/>
        <v>0.13568416739334355</v>
      </c>
      <c r="O66" s="96">
        <f>AVERAGE(C66:I66)</f>
        <v>0.14728495415709</v>
      </c>
      <c r="P66" s="67">
        <f>AVERAGE(C66:F66,I66)</f>
        <v>0.13568416739334366</v>
      </c>
    </row>
    <row r="67" spans="1:17" x14ac:dyDescent="0.3">
      <c r="A67" s="43" t="s">
        <v>129</v>
      </c>
      <c r="B67" s="81">
        <f t="shared" ref="B67:N67" si="46">+IFERROR(B65/B$18,"nm")</f>
        <v>0.11091703056768559</v>
      </c>
      <c r="C67" s="81">
        <f t="shared" si="46"/>
        <v>0.12103765917095638</v>
      </c>
      <c r="D67" s="81">
        <f t="shared" si="46"/>
        <v>9.9040483701366977E-2</v>
      </c>
      <c r="E67" s="81">
        <f t="shared" si="46"/>
        <v>0.10683271625715247</v>
      </c>
      <c r="F67" s="81">
        <f t="shared" si="46"/>
        <v>0.12545591749465476</v>
      </c>
      <c r="G67" s="81">
        <f t="shared" si="46"/>
        <v>0.1063932615299641</v>
      </c>
      <c r="H67" s="81">
        <f t="shared" si="46"/>
        <v>0.14174282554281389</v>
      </c>
      <c r="I67" s="81">
        <f t="shared" si="46"/>
        <v>0.17942570696888793</v>
      </c>
      <c r="J67" s="82">
        <f t="shared" si="46"/>
        <v>0.19481369411182795</v>
      </c>
      <c r="K67" s="81">
        <f t="shared" si="46"/>
        <v>0.21149500040424596</v>
      </c>
      <c r="L67" s="81">
        <f t="shared" si="46"/>
        <v>0.22957729129196119</v>
      </c>
      <c r="M67" s="81">
        <f t="shared" si="46"/>
        <v>0.24917715351657552</v>
      </c>
      <c r="N67" s="81">
        <f t="shared" si="46"/>
        <v>0.27042083144859153</v>
      </c>
      <c r="O67" s="96">
        <f>AVERAGE(C67:I67)</f>
        <v>0.12570408152368523</v>
      </c>
      <c r="P67" s="67">
        <f>AVERAGE(C67:F67,I67)</f>
        <v>0.12635849671860372</v>
      </c>
    </row>
    <row r="68" spans="1:17" x14ac:dyDescent="0.3">
      <c r="A68" s="9" t="s">
        <v>133</v>
      </c>
      <c r="B68" s="104">
        <f>[2]Historicals!B160</f>
        <v>236</v>
      </c>
      <c r="C68" s="104">
        <f>[2]Historicals!C160</f>
        <v>234</v>
      </c>
      <c r="D68" s="104">
        <f>[2]Historicals!D160</f>
        <v>173</v>
      </c>
      <c r="E68" s="104">
        <f>[2]Historicals!E160</f>
        <v>240</v>
      </c>
      <c r="F68" s="104">
        <f>[2]Historicals!F160</f>
        <v>233</v>
      </c>
      <c r="G68" s="104">
        <f>[2]Historicals!G160</f>
        <v>139</v>
      </c>
      <c r="H68" s="104">
        <f>[2]Historicals!H160</f>
        <v>153</v>
      </c>
      <c r="I68" s="104">
        <f>[2]Historicals!I160</f>
        <v>197</v>
      </c>
      <c r="J68" s="78">
        <f>I68*(1+$P$69)</f>
        <v>211.83567334912902</v>
      </c>
      <c r="K68" s="44">
        <f>J68*(1+$P$69)</f>
        <v>227.7885913872025</v>
      </c>
      <c r="L68" s="44">
        <f>K68*(1+$P$69)</f>
        <v>244.9428915622216</v>
      </c>
      <c r="M68" s="44">
        <f>L68*(1+$P$69)</f>
        <v>263.38904754398942</v>
      </c>
      <c r="N68" s="44">
        <f>M68*(1+$P$69)</f>
        <v>283.22434639221706</v>
      </c>
      <c r="O68" s="96"/>
      <c r="P68" s="67"/>
    </row>
    <row r="69" spans="1:17" x14ac:dyDescent="0.3">
      <c r="A69" s="43" t="s">
        <v>127</v>
      </c>
      <c r="B69" s="81" t="str">
        <f t="shared" ref="B69:N69" si="47">+IFERROR(B68/A68-1,"nm")</f>
        <v>nm</v>
      </c>
      <c r="C69" s="81">
        <f t="shared" si="47"/>
        <v>-8.4745762711864181E-3</v>
      </c>
      <c r="D69" s="81">
        <f t="shared" si="47"/>
        <v>-0.26068376068376065</v>
      </c>
      <c r="E69" s="81">
        <f t="shared" si="47"/>
        <v>0.38728323699421963</v>
      </c>
      <c r="F69" s="81">
        <f t="shared" si="47"/>
        <v>-2.9166666666666674E-2</v>
      </c>
      <c r="G69" s="81">
        <f t="shared" si="47"/>
        <v>-0.40343347639484983</v>
      </c>
      <c r="H69" s="81">
        <f t="shared" si="47"/>
        <v>0.10071942446043169</v>
      </c>
      <c r="I69" s="81">
        <f t="shared" si="47"/>
        <v>0.28758169934640532</v>
      </c>
      <c r="J69" s="82">
        <f t="shared" si="47"/>
        <v>7.5307986543802219E-2</v>
      </c>
      <c r="K69" s="81">
        <f t="shared" si="47"/>
        <v>7.5307986543802219E-2</v>
      </c>
      <c r="L69" s="81">
        <f t="shared" si="47"/>
        <v>7.5307986543802219E-2</v>
      </c>
      <c r="M69" s="81">
        <f t="shared" si="47"/>
        <v>7.5307986543802219E-2</v>
      </c>
      <c r="N69" s="81">
        <f t="shared" si="47"/>
        <v>7.5307986543802219E-2</v>
      </c>
      <c r="O69" s="96">
        <f>AVERAGE(C69:I69)</f>
        <v>1.054655439779901E-2</v>
      </c>
      <c r="P69" s="67">
        <f>AVERAGE(C69:F69,I69)</f>
        <v>7.5307986543802247E-2</v>
      </c>
    </row>
    <row r="70" spans="1:17" x14ac:dyDescent="0.3">
      <c r="A70" s="43" t="s">
        <v>131</v>
      </c>
      <c r="B70" s="81">
        <f t="shared" ref="B70:N70" si="48">+IFERROR(B68/B$18,"nm")</f>
        <v>1.717612809315866E-2</v>
      </c>
      <c r="C70" s="81">
        <f t="shared" si="48"/>
        <v>1.5849363316174477E-2</v>
      </c>
      <c r="D70" s="81">
        <f t="shared" si="48"/>
        <v>1.1369610935856993E-2</v>
      </c>
      <c r="E70" s="81">
        <f t="shared" si="48"/>
        <v>1.6156176371592057E-2</v>
      </c>
      <c r="F70" s="81">
        <f t="shared" si="48"/>
        <v>1.4652245000628852E-2</v>
      </c>
      <c r="G70" s="81">
        <f t="shared" si="48"/>
        <v>9.5967964650648992E-3</v>
      </c>
      <c r="H70" s="81">
        <f t="shared" si="48"/>
        <v>8.9062227137784496E-3</v>
      </c>
      <c r="I70" s="81">
        <f t="shared" si="48"/>
        <v>1.0733939955320656E-2</v>
      </c>
      <c r="J70" s="82">
        <f t="shared" si="48"/>
        <v>1.103492224082238E-2</v>
      </c>
      <c r="K70" s="81">
        <f t="shared" si="48"/>
        <v>1.1342928670781563E-2</v>
      </c>
      <c r="L70" s="81">
        <f t="shared" si="48"/>
        <v>1.1658141526551338E-2</v>
      </c>
      <c r="M70" s="81">
        <f t="shared" si="48"/>
        <v>1.1980747524691367E-2</v>
      </c>
      <c r="N70" s="81">
        <f t="shared" si="48"/>
        <v>1.2310937874530522E-2</v>
      </c>
      <c r="O70" s="96">
        <f>AVERAGE(C70:I70)</f>
        <v>1.2466336394059483E-2</v>
      </c>
      <c r="P70" s="67">
        <f>AVERAGE(C70:F70,I70)</f>
        <v>1.3752267115914606E-2</v>
      </c>
    </row>
    <row r="71" spans="1:17" x14ac:dyDescent="0.3">
      <c r="A71" s="92" t="s">
        <v>101</v>
      </c>
      <c r="B71" s="93"/>
      <c r="C71" s="93"/>
      <c r="D71" s="93"/>
      <c r="E71" s="93"/>
      <c r="F71" s="93"/>
      <c r="G71" s="93"/>
      <c r="H71" s="93"/>
      <c r="I71" s="93"/>
      <c r="J71" s="74"/>
      <c r="K71" s="75"/>
      <c r="L71" s="75"/>
      <c r="M71" s="75"/>
      <c r="N71" s="75"/>
      <c r="O71" s="94"/>
      <c r="P71" s="95"/>
    </row>
    <row r="72" spans="1:17" x14ac:dyDescent="0.3">
      <c r="A72" s="9" t="s">
        <v>134</v>
      </c>
      <c r="B72" s="101">
        <f>+[1]Historicals!B118</f>
        <v>3067</v>
      </c>
      <c r="C72" s="101">
        <f>+[1]Historicals!C118</f>
        <v>3785</v>
      </c>
      <c r="D72" s="101">
        <f>+[1]Historicals!D118</f>
        <v>4237</v>
      </c>
      <c r="E72" s="101">
        <f>+[1]Historicals!E118</f>
        <v>5134</v>
      </c>
      <c r="F72" s="101">
        <f>+[1]Historicals!F118</f>
        <v>6208</v>
      </c>
      <c r="G72" s="101">
        <f>+[1]Historicals!G118</f>
        <v>6679</v>
      </c>
      <c r="H72" s="101">
        <f>+[1]Historicals!H118</f>
        <v>8290</v>
      </c>
      <c r="I72" s="101">
        <f>+[1]Historicals!I118</f>
        <v>7547</v>
      </c>
      <c r="J72" s="78">
        <f>SUM(J74,J78,J82)</f>
        <v>6882.4018470310984</v>
      </c>
      <c r="K72" s="166">
        <f t="shared" ref="K72:N72" si="49">SUM(K74,K78,K82)</f>
        <v>7849.8445364451536</v>
      </c>
      <c r="L72" s="166">
        <f t="shared" si="49"/>
        <v>8958.0195484198193</v>
      </c>
      <c r="M72" s="166">
        <f t="shared" si="49"/>
        <v>10227.716982325303</v>
      </c>
      <c r="N72" s="166">
        <f t="shared" si="49"/>
        <v>11682.831520558817</v>
      </c>
      <c r="O72" s="96"/>
      <c r="P72" s="67"/>
      <c r="Q72" s="123" t="s">
        <v>230</v>
      </c>
    </row>
    <row r="73" spans="1:17" x14ac:dyDescent="0.3">
      <c r="A73" s="41" t="s">
        <v>127</v>
      </c>
      <c r="B73" s="81" t="str">
        <f t="shared" ref="B73:N73" si="50">+IFERROR(B72/A72-1,"nm")</f>
        <v>nm</v>
      </c>
      <c r="C73" s="81">
        <f t="shared" si="50"/>
        <v>0.23410498858819695</v>
      </c>
      <c r="D73" s="81">
        <f t="shared" si="50"/>
        <v>0.11941875825627468</v>
      </c>
      <c r="E73" s="81">
        <f t="shared" si="50"/>
        <v>0.21170639603493036</v>
      </c>
      <c r="F73" s="81">
        <f t="shared" si="50"/>
        <v>0.20919361121932223</v>
      </c>
      <c r="G73" s="81">
        <f t="shared" si="50"/>
        <v>7.5869845360824639E-2</v>
      </c>
      <c r="H73" s="81">
        <f t="shared" si="50"/>
        <v>0.24120377301991325</v>
      </c>
      <c r="I73" s="81">
        <f t="shared" si="50"/>
        <v>-8.9626055488540413E-2</v>
      </c>
      <c r="J73" s="82">
        <f t="shared" si="50"/>
        <v>-8.8061236646204022E-2</v>
      </c>
      <c r="K73" s="81">
        <f t="shared" si="50"/>
        <v>0.14056759702739341</v>
      </c>
      <c r="L73" s="81">
        <f t="shared" si="50"/>
        <v>0.14117158713521594</v>
      </c>
      <c r="M73" s="81">
        <f t="shared" si="50"/>
        <v>0.14173863174137136</v>
      </c>
      <c r="N73" s="81">
        <f t="shared" si="50"/>
        <v>0.14227168592444661</v>
      </c>
      <c r="O73" s="96">
        <f>AVERAGE(C73:I73)</f>
        <v>0.14312447385584595</v>
      </c>
      <c r="P73" s="67">
        <f>AVERAGE(C73:F73,I73)</f>
        <v>0.13695953972203675</v>
      </c>
      <c r="Q73" s="168" t="s">
        <v>252</v>
      </c>
    </row>
    <row r="74" spans="1:17" x14ac:dyDescent="0.3">
      <c r="A74" s="42" t="s">
        <v>112</v>
      </c>
      <c r="B74" s="102">
        <f>+[1]Historicals!B119</f>
        <v>2016</v>
      </c>
      <c r="C74" s="102">
        <f>+[1]Historicals!C119</f>
        <v>2599</v>
      </c>
      <c r="D74" s="102">
        <f>+[1]Historicals!D119</f>
        <v>2920</v>
      </c>
      <c r="E74" s="102">
        <f>+[1]Historicals!E119</f>
        <v>3496</v>
      </c>
      <c r="F74" s="102">
        <f>+[1]Historicals!F119</f>
        <v>4262</v>
      </c>
      <c r="G74" s="102">
        <f>+[1]Historicals!G119</f>
        <v>4635</v>
      </c>
      <c r="H74" s="102">
        <f>+[1]Historicals!H119</f>
        <v>5748</v>
      </c>
      <c r="I74" s="102">
        <f>+[1]Historicals!I119</f>
        <v>5416</v>
      </c>
      <c r="J74" s="78">
        <f>I74*(1+$P$75)*0.8</f>
        <v>5001.1813283291231</v>
      </c>
      <c r="K74" s="166">
        <f t="shared" ref="K74:N74" si="51">J74*(1+$P$75)</f>
        <v>5772.6677157560589</v>
      </c>
      <c r="L74" s="166">
        <f t="shared" si="51"/>
        <v>6663.1642343721223</v>
      </c>
      <c r="M74" s="166">
        <f t="shared" si="51"/>
        <v>7691.029485905713</v>
      </c>
      <c r="N74" s="166">
        <f t="shared" si="51"/>
        <v>8877.4540852428891</v>
      </c>
      <c r="O74" s="96"/>
      <c r="P74" s="67"/>
      <c r="Q74" s="123" t="s">
        <v>250</v>
      </c>
    </row>
    <row r="75" spans="1:17" x14ac:dyDescent="0.3">
      <c r="A75" s="41" t="s">
        <v>127</v>
      </c>
      <c r="B75" s="81" t="str">
        <f t="shared" ref="B75:N75" si="52">+IFERROR(B74/A74-1,"nm")</f>
        <v>nm</v>
      </c>
      <c r="C75" s="81">
        <f t="shared" si="52"/>
        <v>0.28918650793650791</v>
      </c>
      <c r="D75" s="81">
        <f t="shared" si="52"/>
        <v>0.12350904193920731</v>
      </c>
      <c r="E75" s="81">
        <f t="shared" si="52"/>
        <v>0.19726027397260282</v>
      </c>
      <c r="F75" s="81">
        <f t="shared" si="52"/>
        <v>0.21910755148741412</v>
      </c>
      <c r="G75" s="81">
        <f t="shared" si="52"/>
        <v>8.7517597372125833E-2</v>
      </c>
      <c r="H75" s="81">
        <f t="shared" si="52"/>
        <v>0.24012944983818763</v>
      </c>
      <c r="I75" s="81">
        <f t="shared" si="52"/>
        <v>-5.7759220598469052E-2</v>
      </c>
      <c r="J75" s="82">
        <f t="shared" si="52"/>
        <v>-7.6591335242037872E-2</v>
      </c>
      <c r="K75" s="81">
        <f t="shared" si="52"/>
        <v>0.15426083094745269</v>
      </c>
      <c r="L75" s="81">
        <f t="shared" si="52"/>
        <v>0.15426083094745269</v>
      </c>
      <c r="M75" s="81">
        <f t="shared" si="52"/>
        <v>0.15426083094745269</v>
      </c>
      <c r="N75" s="81">
        <f t="shared" si="52"/>
        <v>0.15426083094745291</v>
      </c>
      <c r="O75" s="96">
        <f>AVERAGE(C75:I75)</f>
        <v>0.15699302884965377</v>
      </c>
      <c r="P75" s="67">
        <f>AVERAGE(C75:F75,I75)</f>
        <v>0.15426083094745263</v>
      </c>
      <c r="Q75" s="123" t="s">
        <v>251</v>
      </c>
    </row>
    <row r="76" spans="1:17" x14ac:dyDescent="0.3">
      <c r="A76" s="41" t="s">
        <v>135</v>
      </c>
      <c r="B76" s="81">
        <f>+[1]Historicals!B191</f>
        <v>0.28000000000000003</v>
      </c>
      <c r="C76" s="81">
        <f>+[1]Historicals!C191</f>
        <v>0.28999999999999998</v>
      </c>
      <c r="D76" s="81">
        <f>+[1]Historicals!D191</f>
        <v>0.12</v>
      </c>
      <c r="E76" s="81">
        <f>+[1]Historicals!E191</f>
        <v>0.16</v>
      </c>
      <c r="F76" s="81">
        <f>+[1]Historicals!F191</f>
        <v>0.25</v>
      </c>
      <c r="G76" s="81">
        <f>+[1]Historicals!G191</f>
        <v>0.12</v>
      </c>
      <c r="H76" s="81">
        <f>+[1]Historicals!H191</f>
        <v>0.19</v>
      </c>
      <c r="I76" s="81">
        <f>+[1]Historicals!I191</f>
        <v>-0.1</v>
      </c>
      <c r="J76" s="82">
        <f>$P$76</f>
        <v>0.14399999999999999</v>
      </c>
      <c r="K76" s="81">
        <f>$P$76</f>
        <v>0.14399999999999999</v>
      </c>
      <c r="L76" s="81">
        <f>$P$76</f>
        <v>0.14399999999999999</v>
      </c>
      <c r="M76" s="81">
        <f>$P$76</f>
        <v>0.14399999999999999</v>
      </c>
      <c r="N76" s="81">
        <f>$P$76</f>
        <v>0.14399999999999999</v>
      </c>
      <c r="O76" s="96">
        <f>AVERAGE(C76:I76)</f>
        <v>0.1471428571428571</v>
      </c>
      <c r="P76" s="67">
        <f>AVERAGE(C76:F76,I76)</f>
        <v>0.14399999999999999</v>
      </c>
      <c r="Q76" s="123" t="s">
        <v>253</v>
      </c>
    </row>
    <row r="77" spans="1:17" x14ac:dyDescent="0.3">
      <c r="A77" s="41" t="s">
        <v>136</v>
      </c>
      <c r="B77" s="81" t="str">
        <f t="shared" ref="B77:N77" si="53">+IFERROR(B75-B76,"nm")</f>
        <v>nm</v>
      </c>
      <c r="C77" s="81">
        <f t="shared" si="53"/>
        <v>-8.134920634920717E-4</v>
      </c>
      <c r="D77" s="81">
        <f t="shared" si="53"/>
        <v>3.5090419392073136E-3</v>
      </c>
      <c r="E77" s="81">
        <f t="shared" si="53"/>
        <v>3.7260273972602814E-2</v>
      </c>
      <c r="F77" s="81">
        <f t="shared" si="53"/>
        <v>-3.0892448512585879E-2</v>
      </c>
      <c r="G77" s="81">
        <f t="shared" si="53"/>
        <v>-3.2482402627874163E-2</v>
      </c>
      <c r="H77" s="81">
        <f t="shared" si="53"/>
        <v>5.0129449838187623E-2</v>
      </c>
      <c r="I77" s="81">
        <f t="shared" si="53"/>
        <v>4.2240779401530953E-2</v>
      </c>
      <c r="J77" s="82">
        <f t="shared" si="53"/>
        <v>-0.22059133524203786</v>
      </c>
      <c r="K77" s="81">
        <f t="shared" si="53"/>
        <v>1.0260830947452698E-2</v>
      </c>
      <c r="L77" s="81">
        <f t="shared" si="53"/>
        <v>1.0260830947452698E-2</v>
      </c>
      <c r="M77" s="81">
        <f t="shared" si="53"/>
        <v>1.0260830947452698E-2</v>
      </c>
      <c r="N77" s="81">
        <f t="shared" si="53"/>
        <v>1.026083094745292E-2</v>
      </c>
      <c r="O77" s="96">
        <f>AVERAGE(C77:I77)</f>
        <v>9.8501717067966555E-3</v>
      </c>
      <c r="P77" s="67">
        <f>AVERAGE(C77:F77,I77)</f>
        <v>1.0260830947452625E-2</v>
      </c>
    </row>
    <row r="78" spans="1:17" x14ac:dyDescent="0.3">
      <c r="A78" s="42" t="s">
        <v>113</v>
      </c>
      <c r="B78" s="102">
        <f>+[1]Historicals!B120</f>
        <v>925</v>
      </c>
      <c r="C78" s="102">
        <f>+[1]Historicals!C120</f>
        <v>1055</v>
      </c>
      <c r="D78" s="102">
        <f>+[1]Historicals!D120</f>
        <v>1188</v>
      </c>
      <c r="E78" s="102">
        <f>+[1]Historicals!E120</f>
        <v>1508</v>
      </c>
      <c r="F78" s="102">
        <f>+[1]Historicals!F120</f>
        <v>1808</v>
      </c>
      <c r="G78" s="102">
        <f>+[1]Historicals!G120</f>
        <v>1896</v>
      </c>
      <c r="H78" s="102">
        <f>+[1]Historicals!H120</f>
        <v>2347</v>
      </c>
      <c r="I78" s="102">
        <f>+[1]Historicals!I120</f>
        <v>1938</v>
      </c>
      <c r="J78" s="78">
        <f>I78*(1+$P$79)*0.8</f>
        <v>1724.2436026697073</v>
      </c>
      <c r="K78" s="166">
        <f t="shared" ref="K78:N78" si="54">J78*(1+$P$79)</f>
        <v>1917.5799802292386</v>
      </c>
      <c r="L78" s="166">
        <f t="shared" si="54"/>
        <v>2132.5948229603769</v>
      </c>
      <c r="M78" s="166">
        <f t="shared" si="54"/>
        <v>2371.718898720309</v>
      </c>
      <c r="N78" s="166">
        <f t="shared" si="54"/>
        <v>2637.6555330555575</v>
      </c>
      <c r="O78" s="96"/>
      <c r="P78" s="67"/>
    </row>
    <row r="79" spans="1:17" x14ac:dyDescent="0.3">
      <c r="A79" s="41" t="s">
        <v>127</v>
      </c>
      <c r="B79" s="81" t="str">
        <f t="shared" ref="B79:N79" si="55">+IFERROR(B78/A78-1,"nm")</f>
        <v>nm</v>
      </c>
      <c r="C79" s="81">
        <f t="shared" si="55"/>
        <v>0.14054054054054044</v>
      </c>
      <c r="D79" s="81">
        <f t="shared" si="55"/>
        <v>0.12606635071090055</v>
      </c>
      <c r="E79" s="81">
        <f t="shared" si="55"/>
        <v>0.26936026936026947</v>
      </c>
      <c r="F79" s="81">
        <f t="shared" si="55"/>
        <v>0.19893899204244025</v>
      </c>
      <c r="G79" s="81">
        <f t="shared" si="55"/>
        <v>4.8672566371681381E-2</v>
      </c>
      <c r="H79" s="81">
        <f t="shared" si="55"/>
        <v>0.2378691983122363</v>
      </c>
      <c r="I79" s="81">
        <f t="shared" si="55"/>
        <v>-0.17426501917341286</v>
      </c>
      <c r="J79" s="82">
        <f t="shared" si="55"/>
        <v>-0.11029741864308185</v>
      </c>
      <c r="K79" s="81">
        <f t="shared" si="55"/>
        <v>0.11212822669614764</v>
      </c>
      <c r="L79" s="81">
        <f t="shared" si="55"/>
        <v>0.11212822669614764</v>
      </c>
      <c r="M79" s="81">
        <f t="shared" si="55"/>
        <v>0.11212822669614764</v>
      </c>
      <c r="N79" s="81">
        <f t="shared" si="55"/>
        <v>0.11212822669614764</v>
      </c>
      <c r="O79" s="96">
        <f>AVERAGE(C79:I79)</f>
        <v>0.12102612830923651</v>
      </c>
      <c r="P79" s="67">
        <f>AVERAGE(C79:F79,I79)</f>
        <v>0.11212822669614757</v>
      </c>
      <c r="Q79" s="67"/>
    </row>
    <row r="80" spans="1:17" x14ac:dyDescent="0.3">
      <c r="A80" s="41" t="s">
        <v>135</v>
      </c>
      <c r="B80" s="81">
        <f>+[1]Historicals!B192</f>
        <v>7.0000000000000007E-2</v>
      </c>
      <c r="C80" s="81">
        <f>+[1]Historicals!C192</f>
        <v>0.14000000000000001</v>
      </c>
      <c r="D80" s="81">
        <f>+[1]Historicals!D192</f>
        <v>0.13</v>
      </c>
      <c r="E80" s="81">
        <f>+[1]Historicals!E192</f>
        <v>0.23</v>
      </c>
      <c r="F80" s="81">
        <f>+[1]Historicals!F192</f>
        <v>0.23</v>
      </c>
      <c r="G80" s="81">
        <f>+[1]Historicals!G192</f>
        <v>0.08</v>
      </c>
      <c r="H80" s="81">
        <f>+[1]Historicals!H192</f>
        <v>0.19</v>
      </c>
      <c r="I80" s="81">
        <f>+[1]Historicals!I192</f>
        <v>-0.21</v>
      </c>
      <c r="J80" s="97">
        <f>$P$80</f>
        <v>0.10400000000000001</v>
      </c>
      <c r="K80" s="98">
        <f>$P$80</f>
        <v>0.10400000000000001</v>
      </c>
      <c r="L80" s="98">
        <f>$P$80</f>
        <v>0.10400000000000001</v>
      </c>
      <c r="M80" s="98">
        <f>$P$80</f>
        <v>0.10400000000000001</v>
      </c>
      <c r="N80" s="98">
        <f>$P$80</f>
        <v>0.10400000000000001</v>
      </c>
      <c r="O80" s="96">
        <f>AVERAGE(C80:I80)</f>
        <v>0.11285714285714286</v>
      </c>
      <c r="P80" s="67">
        <f>AVERAGE(C80:F80,I80)</f>
        <v>0.10400000000000001</v>
      </c>
    </row>
    <row r="81" spans="1:17" x14ac:dyDescent="0.3">
      <c r="A81" s="41" t="s">
        <v>136</v>
      </c>
      <c r="B81" s="81" t="str">
        <f t="shared" ref="B81:N81" si="56">+IFERROR(B79-B80,"nm")</f>
        <v>nm</v>
      </c>
      <c r="C81" s="81">
        <f t="shared" si="56"/>
        <v>5.40540540540424E-4</v>
      </c>
      <c r="D81" s="81">
        <f t="shared" si="56"/>
        <v>-3.9336492890994501E-3</v>
      </c>
      <c r="E81" s="81">
        <f t="shared" si="56"/>
        <v>3.9360269360269456E-2</v>
      </c>
      <c r="F81" s="81">
        <f t="shared" si="56"/>
        <v>-3.1061007957559755E-2</v>
      </c>
      <c r="G81" s="81">
        <f t="shared" si="56"/>
        <v>-3.1327433628318621E-2</v>
      </c>
      <c r="H81" s="81">
        <f t="shared" si="56"/>
        <v>4.7869198312236294E-2</v>
      </c>
      <c r="I81" s="81">
        <f t="shared" si="56"/>
        <v>3.5734980826587132E-2</v>
      </c>
      <c r="J81" s="82">
        <f t="shared" si="56"/>
        <v>-0.21429741864308186</v>
      </c>
      <c r="K81" s="81">
        <f t="shared" si="56"/>
        <v>8.1282266961476279E-3</v>
      </c>
      <c r="L81" s="81">
        <f t="shared" si="56"/>
        <v>8.1282266961476279E-3</v>
      </c>
      <c r="M81" s="81">
        <f t="shared" si="56"/>
        <v>8.1282266961476279E-3</v>
      </c>
      <c r="N81" s="81">
        <f t="shared" si="56"/>
        <v>8.1282266961476279E-3</v>
      </c>
      <c r="O81" s="96">
        <f>AVERAGE(C81:I81)</f>
        <v>8.1689854520936404E-3</v>
      </c>
      <c r="P81" s="67">
        <f>AVERAGE(C81:F81,I81)</f>
        <v>8.128226696147562E-3</v>
      </c>
    </row>
    <row r="82" spans="1:17" x14ac:dyDescent="0.3">
      <c r="A82" s="42" t="s">
        <v>114</v>
      </c>
      <c r="B82" s="103">
        <f>+[1]Historicals!B121</f>
        <v>126</v>
      </c>
      <c r="C82" s="103">
        <f>+[1]Historicals!C121</f>
        <v>131</v>
      </c>
      <c r="D82" s="103">
        <f>+[1]Historicals!D121</f>
        <v>129</v>
      </c>
      <c r="E82" s="103">
        <f>+[1]Historicals!E121</f>
        <v>130</v>
      </c>
      <c r="F82" s="103">
        <f>+[1]Historicals!F121</f>
        <v>138</v>
      </c>
      <c r="G82" s="103">
        <f>+[1]Historicals!G121</f>
        <v>148</v>
      </c>
      <c r="H82" s="103">
        <f>+[1]Historicals!H121</f>
        <v>195</v>
      </c>
      <c r="I82" s="103">
        <f>+[1]Historicals!I121</f>
        <v>193</v>
      </c>
      <c r="J82" s="78">
        <f>I82*(1+$P$83)*0.8</f>
        <v>156.97691603226843</v>
      </c>
      <c r="K82" s="166">
        <f t="shared" ref="K82:N82" si="57">J82*(1+$P$83)</f>
        <v>159.59684045985657</v>
      </c>
      <c r="L82" s="166">
        <f t="shared" si="57"/>
        <v>162.26049108732022</v>
      </c>
      <c r="M82" s="166">
        <f t="shared" si="57"/>
        <v>164.96859769928045</v>
      </c>
      <c r="N82" s="166">
        <f t="shared" si="57"/>
        <v>167.72190226036926</v>
      </c>
      <c r="O82" s="96"/>
      <c r="P82" s="67"/>
    </row>
    <row r="83" spans="1:17" x14ac:dyDescent="0.3">
      <c r="A83" s="41" t="s">
        <v>127</v>
      </c>
      <c r="B83" s="81" t="str">
        <f t="shared" ref="B83:N83" si="58">+IFERROR(B82/A82-1,"nm")</f>
        <v>nm</v>
      </c>
      <c r="C83" s="81">
        <f t="shared" si="58"/>
        <v>3.9682539682539764E-2</v>
      </c>
      <c r="D83" s="81">
        <f t="shared" si="58"/>
        <v>-1.5267175572519109E-2</v>
      </c>
      <c r="E83" s="81">
        <f t="shared" si="58"/>
        <v>7.7519379844961378E-3</v>
      </c>
      <c r="F83" s="81">
        <f t="shared" si="58"/>
        <v>6.1538461538461542E-2</v>
      </c>
      <c r="G83" s="81">
        <f t="shared" si="58"/>
        <v>7.2463768115942129E-2</v>
      </c>
      <c r="H83" s="81">
        <f t="shared" si="58"/>
        <v>0.31756756756756754</v>
      </c>
      <c r="I83" s="81">
        <f t="shared" si="58"/>
        <v>-1.025641025641022E-2</v>
      </c>
      <c r="J83" s="82">
        <f t="shared" si="58"/>
        <v>-0.18664810345974903</v>
      </c>
      <c r="K83" s="81">
        <f t="shared" si="58"/>
        <v>1.6689870675313578E-2</v>
      </c>
      <c r="L83" s="81">
        <f t="shared" si="58"/>
        <v>1.6689870675313578E-2</v>
      </c>
      <c r="M83" s="81">
        <f t="shared" si="58"/>
        <v>1.6689870675313578E-2</v>
      </c>
      <c r="N83" s="81">
        <f t="shared" si="58"/>
        <v>1.6689870675313578E-2</v>
      </c>
      <c r="O83" s="96">
        <f>AVERAGE(C83:I83)</f>
        <v>6.7640098437153975E-2</v>
      </c>
      <c r="P83" s="67">
        <f>AVERAGE(C83:F83,I83)</f>
        <v>1.6689870675313623E-2</v>
      </c>
      <c r="Q83" s="67"/>
    </row>
    <row r="84" spans="1:17" x14ac:dyDescent="0.3">
      <c r="A84" s="41" t="s">
        <v>135</v>
      </c>
      <c r="B84" s="81">
        <f>+[1]Historicals!B193</f>
        <v>0.01</v>
      </c>
      <c r="C84" s="81">
        <f>+[1]Historicals!C193</f>
        <v>0.04</v>
      </c>
      <c r="D84" s="81">
        <f>+[1]Historicals!D193</f>
        <v>-0.02</v>
      </c>
      <c r="E84" s="81">
        <f>+[1]Historicals!E193</f>
        <v>-0.01</v>
      </c>
      <c r="F84" s="81">
        <f>+[1]Historicals!F193</f>
        <v>0.08</v>
      </c>
      <c r="G84" s="81">
        <f>+[1]Historicals!G193</f>
        <v>0.11</v>
      </c>
      <c r="H84" s="81">
        <f>+[1]Historicals!H193</f>
        <v>0.26</v>
      </c>
      <c r="I84" s="81">
        <f>+[1]Historicals!I193</f>
        <v>-0.06</v>
      </c>
      <c r="J84" s="97">
        <f>$P$84</f>
        <v>6.0000000000000001E-3</v>
      </c>
      <c r="K84" s="98">
        <f>$P$84</f>
        <v>6.0000000000000001E-3</v>
      </c>
      <c r="L84" s="98">
        <f>$P$84</f>
        <v>6.0000000000000001E-3</v>
      </c>
      <c r="M84" s="98">
        <f>$P$84</f>
        <v>6.0000000000000001E-3</v>
      </c>
      <c r="N84" s="98">
        <f>$P$84</f>
        <v>6.0000000000000001E-3</v>
      </c>
      <c r="O84" s="96">
        <f>AVERAGE(C84:I84)</f>
        <v>5.7142857142857148E-2</v>
      </c>
      <c r="P84" s="67">
        <f>AVERAGE(C84:F84,I84)</f>
        <v>6.0000000000000001E-3</v>
      </c>
    </row>
    <row r="85" spans="1:17" x14ac:dyDescent="0.3">
      <c r="A85" s="41" t="s">
        <v>136</v>
      </c>
      <c r="B85" s="81" t="str">
        <f t="shared" ref="B85:N85" si="59">+IFERROR(B83-B84,"nm")</f>
        <v>nm</v>
      </c>
      <c r="C85" s="81">
        <f t="shared" si="59"/>
        <v>-3.1746031746023723E-4</v>
      </c>
      <c r="D85" s="81">
        <f t="shared" si="59"/>
        <v>4.732824427480891E-3</v>
      </c>
      <c r="E85" s="81">
        <f t="shared" si="59"/>
        <v>1.775193798449614E-2</v>
      </c>
      <c r="F85" s="81">
        <f t="shared" si="59"/>
        <v>-1.846153846153846E-2</v>
      </c>
      <c r="G85" s="81">
        <f t="shared" si="59"/>
        <v>-3.7536231884057872E-2</v>
      </c>
      <c r="H85" s="81">
        <f t="shared" si="59"/>
        <v>5.7567567567567535E-2</v>
      </c>
      <c r="I85" s="81">
        <f t="shared" si="59"/>
        <v>4.9743589743589778E-2</v>
      </c>
      <c r="J85" s="82">
        <f t="shared" si="59"/>
        <v>-0.19264810345974903</v>
      </c>
      <c r="K85" s="81">
        <f t="shared" si="59"/>
        <v>1.0689870675313578E-2</v>
      </c>
      <c r="L85" s="81">
        <f t="shared" si="59"/>
        <v>1.0689870675313578E-2</v>
      </c>
      <c r="M85" s="81">
        <f t="shared" si="59"/>
        <v>1.0689870675313578E-2</v>
      </c>
      <c r="N85" s="81">
        <f t="shared" si="59"/>
        <v>1.0689870675313578E-2</v>
      </c>
      <c r="O85" s="96">
        <f>AVERAGE(C85:I85)</f>
        <v>1.0497241294296826E-2</v>
      </c>
      <c r="P85" s="67">
        <f>AVERAGE(C85:F85,I85)</f>
        <v>1.0689870675313623E-2</v>
      </c>
    </row>
    <row r="86" spans="1:17" x14ac:dyDescent="0.3">
      <c r="A86" s="9" t="s">
        <v>128</v>
      </c>
      <c r="B86" s="101">
        <f>+[1]Historicals!B139+[1]Historicals!B172</f>
        <v>1039</v>
      </c>
      <c r="C86" s="101">
        <f>+[1]Historicals!C139+[1]Historicals!C172</f>
        <v>1420</v>
      </c>
      <c r="D86" s="101">
        <f>+[1]Historicals!D139+[1]Historicals!D172</f>
        <v>1561</v>
      </c>
      <c r="E86" s="101">
        <f>+[1]Historicals!E139+[1]Historicals!E172</f>
        <v>1863</v>
      </c>
      <c r="F86" s="101">
        <f>+[1]Historicals!F139+[1]Historicals!F172</f>
        <v>2426</v>
      </c>
      <c r="G86" s="101">
        <f>+[1]Historicals!G139+[1]Historicals!G172</f>
        <v>2534</v>
      </c>
      <c r="H86" s="101">
        <f>+[1]Historicals!H139+[1]Historicals!H172</f>
        <v>3289</v>
      </c>
      <c r="I86" s="101">
        <f>+[1]Historicals!I139+[1]Historicals!I172</f>
        <v>2406</v>
      </c>
      <c r="J86" s="78">
        <f>I86*(1+$P$87)</f>
        <v>2739.5631926877782</v>
      </c>
      <c r="K86" s="44">
        <f>J86*(1+$P$87)</f>
        <v>3119.3709421153999</v>
      </c>
      <c r="L86" s="44">
        <f>K86*(1+$P$87)</f>
        <v>3551.8345043055474</v>
      </c>
      <c r="M86" s="44">
        <f>L86*(1+$P$87)</f>
        <v>4044.2539794322183</v>
      </c>
      <c r="N86" s="44">
        <f>M86*(1+$P$87)</f>
        <v>4604.941539457016</v>
      </c>
      <c r="O86" s="96"/>
      <c r="P86" s="67"/>
    </row>
    <row r="87" spans="1:17" x14ac:dyDescent="0.3">
      <c r="A87" s="43" t="s">
        <v>127</v>
      </c>
      <c r="B87" s="81" t="str">
        <f t="shared" ref="B87:N87" si="60">+IFERROR(B86/A86-1,"nm")</f>
        <v>nm</v>
      </c>
      <c r="C87" s="81">
        <f t="shared" si="60"/>
        <v>0.36669874879692022</v>
      </c>
      <c r="D87" s="81">
        <f t="shared" si="60"/>
        <v>9.9295774647887303E-2</v>
      </c>
      <c r="E87" s="81">
        <f t="shared" si="60"/>
        <v>0.19346572709801402</v>
      </c>
      <c r="F87" s="81">
        <f t="shared" si="60"/>
        <v>0.3022007514761138</v>
      </c>
      <c r="G87" s="81">
        <f t="shared" si="60"/>
        <v>4.4517724649629109E-2</v>
      </c>
      <c r="H87" s="81">
        <f t="shared" si="60"/>
        <v>0.29794790844514596</v>
      </c>
      <c r="I87" s="81">
        <f t="shared" si="60"/>
        <v>-0.26847065977500761</v>
      </c>
      <c r="J87" s="82">
        <f t="shared" si="60"/>
        <v>0.13863806844878557</v>
      </c>
      <c r="K87" s="81">
        <f t="shared" si="60"/>
        <v>0.13863806844878557</v>
      </c>
      <c r="L87" s="81">
        <f t="shared" si="60"/>
        <v>0.13863806844878557</v>
      </c>
      <c r="M87" s="81">
        <f t="shared" si="60"/>
        <v>0.13863806844878557</v>
      </c>
      <c r="N87" s="81">
        <f t="shared" si="60"/>
        <v>0.13863806844878557</v>
      </c>
      <c r="O87" s="96">
        <f>AVERAGE(C87:I87)</f>
        <v>0.14795085361981469</v>
      </c>
      <c r="P87" s="67">
        <f>AVERAGE(C87:F87,I87)</f>
        <v>0.13863806844878554</v>
      </c>
    </row>
    <row r="88" spans="1:17" x14ac:dyDescent="0.3">
      <c r="A88" s="43" t="s">
        <v>129</v>
      </c>
      <c r="B88" s="81">
        <f t="shared" ref="B88:N88" si="61">+IFERROR(B86/B$18,"nm")</f>
        <v>7.5618631732168845E-2</v>
      </c>
      <c r="C88" s="81">
        <f t="shared" si="61"/>
        <v>9.6179897046870771E-2</v>
      </c>
      <c r="D88" s="81">
        <f t="shared" si="61"/>
        <v>0.10258937960042061</v>
      </c>
      <c r="E88" s="81">
        <f t="shared" si="61"/>
        <v>0.12541231908448333</v>
      </c>
      <c r="F88" s="81">
        <f t="shared" si="61"/>
        <v>0.15255942648723431</v>
      </c>
      <c r="G88" s="81">
        <f t="shared" si="61"/>
        <v>0.17495167080916874</v>
      </c>
      <c r="H88" s="81">
        <f t="shared" si="61"/>
        <v>0.19145468304325047</v>
      </c>
      <c r="I88" s="81">
        <f t="shared" si="61"/>
        <v>0.13109573366752031</v>
      </c>
      <c r="J88" s="82">
        <f t="shared" si="61"/>
        <v>0.14270904577674631</v>
      </c>
      <c r="K88" s="81">
        <f t="shared" si="61"/>
        <v>0.15533175686564046</v>
      </c>
      <c r="L88" s="81">
        <f t="shared" si="61"/>
        <v>0.16905079002696338</v>
      </c>
      <c r="M88" s="81">
        <f t="shared" si="61"/>
        <v>0.18396051887925766</v>
      </c>
      <c r="N88" s="81">
        <f t="shared" si="61"/>
        <v>0.20016340378306591</v>
      </c>
      <c r="O88" s="96">
        <f>AVERAGE(C88:I88)</f>
        <v>0.13917758710556408</v>
      </c>
      <c r="P88" s="67">
        <f>AVERAGE(C88:F88,I88)</f>
        <v>0.12156735117730588</v>
      </c>
    </row>
    <row r="89" spans="1:17" x14ac:dyDescent="0.3">
      <c r="A89" s="9" t="s">
        <v>130</v>
      </c>
      <c r="B89" s="101">
        <f>+[1]Historicals!B172</f>
        <v>46</v>
      </c>
      <c r="C89" s="101">
        <f>+[1]Historicals!C172</f>
        <v>48</v>
      </c>
      <c r="D89" s="101">
        <f>+[1]Historicals!D172</f>
        <v>54</v>
      </c>
      <c r="E89" s="101">
        <f>+[1]Historicals!E172</f>
        <v>56</v>
      </c>
      <c r="F89" s="101">
        <f>+[1]Historicals!F172</f>
        <v>50</v>
      </c>
      <c r="G89" s="101">
        <f>+[1]Historicals!G172</f>
        <v>44</v>
      </c>
      <c r="H89" s="101">
        <f>+[1]Historicals!H172</f>
        <v>46</v>
      </c>
      <c r="I89" s="101">
        <f>+[1]Historicals!I172</f>
        <v>41</v>
      </c>
      <c r="J89" s="78">
        <f>I89*(1+$P$90)</f>
        <v>40.915349666436619</v>
      </c>
      <c r="K89" s="44">
        <f>J89*(1+$P$90)</f>
        <v>40.830874105531102</v>
      </c>
      <c r="L89" s="44">
        <f>K89*(1+$P$90)</f>
        <v>40.746572956440431</v>
      </c>
      <c r="M89" s="44">
        <f>L89*(1+$P$90)</f>
        <v>40.662445859066594</v>
      </c>
      <c r="N89" s="44">
        <f>M89*(1+$P$90)</f>
        <v>40.578492454055059</v>
      </c>
      <c r="O89" s="96"/>
      <c r="P89" s="67"/>
    </row>
    <row r="90" spans="1:17" x14ac:dyDescent="0.3">
      <c r="A90" s="43" t="s">
        <v>127</v>
      </c>
      <c r="B90" s="81" t="str">
        <f t="shared" ref="B90:N90" si="62">+IFERROR(B89/A89-1,"nm")</f>
        <v>nm</v>
      </c>
      <c r="C90" s="81">
        <f t="shared" si="62"/>
        <v>4.3478260869565188E-2</v>
      </c>
      <c r="D90" s="81">
        <f t="shared" si="62"/>
        <v>0.125</v>
      </c>
      <c r="E90" s="81">
        <f t="shared" si="62"/>
        <v>3.7037037037036979E-2</v>
      </c>
      <c r="F90" s="81">
        <f t="shared" si="62"/>
        <v>-0.1071428571428571</v>
      </c>
      <c r="G90" s="81">
        <f t="shared" si="62"/>
        <v>-0.12</v>
      </c>
      <c r="H90" s="81">
        <f t="shared" si="62"/>
        <v>4.5454545454545414E-2</v>
      </c>
      <c r="I90" s="81">
        <f t="shared" si="62"/>
        <v>-0.10869565217391308</v>
      </c>
      <c r="J90" s="82">
        <f t="shared" si="62"/>
        <v>-2.0646422820337351E-3</v>
      </c>
      <c r="K90" s="81">
        <f t="shared" si="62"/>
        <v>-2.0646422820336241E-3</v>
      </c>
      <c r="L90" s="81">
        <f t="shared" si="62"/>
        <v>-2.0646422820336241E-3</v>
      </c>
      <c r="M90" s="81">
        <f t="shared" si="62"/>
        <v>-2.0646422820337351E-3</v>
      </c>
      <c r="N90" s="81">
        <f t="shared" si="62"/>
        <v>-2.0646422820337351E-3</v>
      </c>
      <c r="O90" s="96">
        <f>AVERAGE(C90:I90)</f>
        <v>-1.2124095136517512E-2</v>
      </c>
      <c r="P90" s="67">
        <f>AVERAGE(C90:F90,I90)</f>
        <v>-2.064642282033602E-3</v>
      </c>
    </row>
    <row r="91" spans="1:17" x14ac:dyDescent="0.3">
      <c r="A91" s="43" t="s">
        <v>131</v>
      </c>
      <c r="B91" s="81">
        <f t="shared" ref="B91:N91" si="63">+IFERROR(B89/B$18,"nm")</f>
        <v>3.3478893740902477E-3</v>
      </c>
      <c r="C91" s="81">
        <f t="shared" si="63"/>
        <v>3.251151449471688E-3</v>
      </c>
      <c r="D91" s="81">
        <f t="shared" si="63"/>
        <v>3.5488958990536278E-3</v>
      </c>
      <c r="E91" s="81">
        <f t="shared" si="63"/>
        <v>3.7697744867048132E-3</v>
      </c>
      <c r="F91" s="81">
        <f t="shared" si="63"/>
        <v>3.1442585838259338E-3</v>
      </c>
      <c r="G91" s="81">
        <f t="shared" si="63"/>
        <v>3.0378348522507597E-3</v>
      </c>
      <c r="H91" s="81">
        <f t="shared" si="63"/>
        <v>2.6776878747307759E-3</v>
      </c>
      <c r="I91" s="81">
        <f t="shared" si="63"/>
        <v>2.2339671988230807E-3</v>
      </c>
      <c r="J91" s="82">
        <f t="shared" si="63"/>
        <v>2.1313582121792441E-3</v>
      </c>
      <c r="K91" s="81">
        <f t="shared" si="63"/>
        <v>2.0332084663425387E-3</v>
      </c>
      <c r="L91" s="81">
        <f t="shared" si="63"/>
        <v>1.9393472136237217E-3</v>
      </c>
      <c r="M91" s="81">
        <f t="shared" si="63"/>
        <v>1.849608030844736E-3</v>
      </c>
      <c r="N91" s="81">
        <f t="shared" si="63"/>
        <v>1.7638289434064882E-3</v>
      </c>
      <c r="O91" s="96">
        <f>AVERAGE(C91:I91)</f>
        <v>3.0947957635515254E-3</v>
      </c>
      <c r="P91" s="67">
        <f>AVERAGE(C91:F91,I91)</f>
        <v>3.1896095235758289E-3</v>
      </c>
    </row>
    <row r="92" spans="1:17" x14ac:dyDescent="0.3">
      <c r="A92" s="9" t="s">
        <v>132</v>
      </c>
      <c r="B92" s="101">
        <f>+[1]Historicals!B139</f>
        <v>993</v>
      </c>
      <c r="C92" s="101">
        <f>+[1]Historicals!C139</f>
        <v>1372</v>
      </c>
      <c r="D92" s="101">
        <f>+[1]Historicals!D139</f>
        <v>1507</v>
      </c>
      <c r="E92" s="101">
        <f>+[1]Historicals!E139</f>
        <v>1807</v>
      </c>
      <c r="F92" s="101">
        <f>+[1]Historicals!F139</f>
        <v>2376</v>
      </c>
      <c r="G92" s="101">
        <f>+[1]Historicals!G139</f>
        <v>2490</v>
      </c>
      <c r="H92" s="101">
        <f>+[1]Historicals!H139</f>
        <v>3243</v>
      </c>
      <c r="I92" s="101">
        <f>+[1]Historicals!I139</f>
        <v>2365</v>
      </c>
      <c r="J92" s="78">
        <f>I92*(1+$P$93)</f>
        <v>2707.1155956450357</v>
      </c>
      <c r="K92" s="44">
        <f>J92*(1+$P$93)</f>
        <v>3098.7208660399901</v>
      </c>
      <c r="L92" s="44">
        <f>K92*(1+$P$93)</f>
        <v>3546.9748765359618</v>
      </c>
      <c r="M92" s="44">
        <f>L92*(1+$P$93)</f>
        <v>4060.0723068209841</v>
      </c>
      <c r="N92" s="44">
        <f>M92*(1+$P$93)</f>
        <v>4647.3932605672744</v>
      </c>
      <c r="O92" s="96"/>
      <c r="P92" s="67"/>
    </row>
    <row r="93" spans="1:17" x14ac:dyDescent="0.3">
      <c r="A93" s="43" t="s">
        <v>127</v>
      </c>
      <c r="B93" s="81" t="str">
        <f t="shared" ref="B93:N93" si="64">+IFERROR(B92/A92-1,"nm")</f>
        <v>nm</v>
      </c>
      <c r="C93" s="81">
        <f t="shared" si="64"/>
        <v>0.38167170191339372</v>
      </c>
      <c r="D93" s="81">
        <f t="shared" si="64"/>
        <v>9.8396501457725938E-2</v>
      </c>
      <c r="E93" s="81">
        <f t="shared" si="64"/>
        <v>0.19907100199071004</v>
      </c>
      <c r="F93" s="81">
        <f t="shared" si="64"/>
        <v>0.31488655229662421</v>
      </c>
      <c r="G93" s="81">
        <f t="shared" si="64"/>
        <v>4.7979797979798011E-2</v>
      </c>
      <c r="H93" s="81">
        <f t="shared" si="64"/>
        <v>0.30240963855421676</v>
      </c>
      <c r="I93" s="81">
        <f t="shared" si="64"/>
        <v>-0.27073697193956214</v>
      </c>
      <c r="J93" s="82">
        <f t="shared" si="64"/>
        <v>0.14465775714377838</v>
      </c>
      <c r="K93" s="81">
        <f t="shared" si="64"/>
        <v>0.14465775714377838</v>
      </c>
      <c r="L93" s="81">
        <f t="shared" si="64"/>
        <v>0.14465775714377838</v>
      </c>
      <c r="M93" s="81">
        <f t="shared" si="64"/>
        <v>0.14465775714377838</v>
      </c>
      <c r="N93" s="81">
        <f t="shared" si="64"/>
        <v>0.14465775714377838</v>
      </c>
      <c r="O93" s="96">
        <f>AVERAGE(C93:I93)</f>
        <v>0.15338260317898664</v>
      </c>
      <c r="P93" s="67">
        <f>AVERAGE(C93:F93,I93)</f>
        <v>0.14465775714377835</v>
      </c>
    </row>
    <row r="94" spans="1:17" x14ac:dyDescent="0.3">
      <c r="A94" s="43" t="s">
        <v>129</v>
      </c>
      <c r="B94" s="81">
        <f t="shared" ref="B94:N94" si="65">+IFERROR(B92/B$18,"nm")</f>
        <v>7.2270742358078607E-2</v>
      </c>
      <c r="C94" s="81">
        <f t="shared" si="65"/>
        <v>9.2928745597399082E-2</v>
      </c>
      <c r="D94" s="81">
        <f t="shared" si="65"/>
        <v>9.9040483701366977E-2</v>
      </c>
      <c r="E94" s="81">
        <f t="shared" si="65"/>
        <v>0.12164254459777853</v>
      </c>
      <c r="F94" s="81">
        <f t="shared" si="65"/>
        <v>0.14941516790340836</v>
      </c>
      <c r="G94" s="81">
        <f t="shared" si="65"/>
        <v>0.17191383595691798</v>
      </c>
      <c r="H94" s="81">
        <f t="shared" si="65"/>
        <v>0.1887769951685197</v>
      </c>
      <c r="I94" s="81">
        <f t="shared" si="65"/>
        <v>0.12886176646869721</v>
      </c>
      <c r="J94" s="82">
        <f t="shared" si="65"/>
        <v>0.14101878886860938</v>
      </c>
      <c r="K94" s="81">
        <f t="shared" si="65"/>
        <v>0.15430346858068669</v>
      </c>
      <c r="L94" s="81">
        <f t="shared" si="65"/>
        <v>0.16881949436476698</v>
      </c>
      <c r="M94" s="81">
        <f t="shared" si="65"/>
        <v>0.1846800453306226</v>
      </c>
      <c r="N94" s="81">
        <f t="shared" si="65"/>
        <v>0.20200865652320832</v>
      </c>
      <c r="O94" s="96">
        <f>AVERAGE(C94:I94)</f>
        <v>0.13608279134201254</v>
      </c>
      <c r="P94" s="67">
        <f>AVERAGE(C94:F94,I94)</f>
        <v>0.11837774165373002</v>
      </c>
    </row>
    <row r="95" spans="1:17" x14ac:dyDescent="0.3">
      <c r="A95" s="9" t="s">
        <v>133</v>
      </c>
      <c r="B95" s="104">
        <f>+[1]Historicals!B161</f>
        <v>69</v>
      </c>
      <c r="C95" s="104">
        <f>+[1]Historicals!C161</f>
        <v>44</v>
      </c>
      <c r="D95" s="104">
        <f>+[1]Historicals!D161</f>
        <v>51</v>
      </c>
      <c r="E95" s="104">
        <f>+[1]Historicals!E161</f>
        <v>76</v>
      </c>
      <c r="F95" s="104">
        <f>+[1]Historicals!F161</f>
        <v>49</v>
      </c>
      <c r="G95" s="104">
        <f>+[1]Historicals!G161</f>
        <v>28</v>
      </c>
      <c r="H95" s="104">
        <f>+[1]Historicals!H161</f>
        <v>94</v>
      </c>
      <c r="I95" s="104">
        <f>+[1]Historicals!I161</f>
        <v>78</v>
      </c>
      <c r="J95" s="78">
        <f>I95*(1+$P$96)</f>
        <v>74.279278680210055</v>
      </c>
      <c r="K95" s="44">
        <f>J95*(1+$P$96)</f>
        <v>70.73604155451676</v>
      </c>
      <c r="L95" s="44">
        <f>K95*(1+$P$96)</f>
        <v>67.361822350806008</v>
      </c>
      <c r="M95" s="44">
        <f>L95*(1+$P$96)</f>
        <v>64.148558651311816</v>
      </c>
      <c r="N95" s="44">
        <f>M95*(1+$P$96)</f>
        <v>61.088572628135765</v>
      </c>
      <c r="O95" s="96"/>
      <c r="P95" s="67"/>
    </row>
    <row r="96" spans="1:17" x14ac:dyDescent="0.3">
      <c r="A96" s="43" t="s">
        <v>127</v>
      </c>
      <c r="B96" s="81" t="str">
        <f t="shared" ref="B96:N96" si="66">+IFERROR(B95/A95-1,"nm")</f>
        <v>nm</v>
      </c>
      <c r="C96" s="81">
        <f t="shared" si="66"/>
        <v>-0.3623188405797102</v>
      </c>
      <c r="D96" s="81">
        <f t="shared" si="66"/>
        <v>0.15909090909090917</v>
      </c>
      <c r="E96" s="81">
        <f t="shared" si="66"/>
        <v>0.49019607843137258</v>
      </c>
      <c r="F96" s="81">
        <f t="shared" si="66"/>
        <v>-0.35526315789473684</v>
      </c>
      <c r="G96" s="81">
        <f t="shared" si="66"/>
        <v>-0.4285714285714286</v>
      </c>
      <c r="H96" s="81">
        <f t="shared" si="66"/>
        <v>2.3571428571428572</v>
      </c>
      <c r="I96" s="81">
        <f t="shared" si="66"/>
        <v>-0.17021276595744683</v>
      </c>
      <c r="J96" s="82">
        <f t="shared" si="66"/>
        <v>-4.7701555381922334E-2</v>
      </c>
      <c r="K96" s="81">
        <f t="shared" si="66"/>
        <v>-4.7701555381922556E-2</v>
      </c>
      <c r="L96" s="81">
        <f t="shared" si="66"/>
        <v>-4.7701555381922445E-2</v>
      </c>
      <c r="M96" s="81">
        <f t="shared" si="66"/>
        <v>-4.7701555381922445E-2</v>
      </c>
      <c r="N96" s="81">
        <f t="shared" si="66"/>
        <v>-4.7701555381922445E-2</v>
      </c>
      <c r="O96" s="96">
        <f>AVERAGE(C96:I96)</f>
        <v>0.24143766452311666</v>
      </c>
      <c r="P96" s="67">
        <f>AVERAGE(C96:F96,I96)</f>
        <v>-4.7701555381922424E-2</v>
      </c>
    </row>
    <row r="97" spans="1:16" x14ac:dyDescent="0.3">
      <c r="A97" s="43" t="s">
        <v>131</v>
      </c>
      <c r="B97" s="81">
        <f t="shared" ref="B97:N97" si="67">+IFERROR(B95/B$18,"nm")</f>
        <v>5.0218340611353713E-3</v>
      </c>
      <c r="C97" s="81">
        <f t="shared" si="67"/>
        <v>2.980222162015714E-3</v>
      </c>
      <c r="D97" s="81">
        <f t="shared" si="67"/>
        <v>3.3517350157728706E-3</v>
      </c>
      <c r="E97" s="81">
        <f t="shared" si="67"/>
        <v>5.1161225176708175E-3</v>
      </c>
      <c r="F97" s="81">
        <f t="shared" si="67"/>
        <v>3.081373412149415E-3</v>
      </c>
      <c r="G97" s="81">
        <f t="shared" si="67"/>
        <v>1.9331676332504833E-3</v>
      </c>
      <c r="H97" s="81">
        <f t="shared" si="67"/>
        <v>5.4717969614063678E-3</v>
      </c>
      <c r="I97" s="81">
        <f t="shared" si="67"/>
        <v>4.2499863782487881E-3</v>
      </c>
      <c r="J97" s="82">
        <f t="shared" si="67"/>
        <v>3.8693485916774352E-3</v>
      </c>
      <c r="K97" s="81">
        <f t="shared" si="67"/>
        <v>3.5223619801153993E-3</v>
      </c>
      <c r="L97" s="81">
        <f t="shared" si="67"/>
        <v>3.2061092013875255E-3</v>
      </c>
      <c r="M97" s="81">
        <f t="shared" si="67"/>
        <v>2.9179181611409468E-3</v>
      </c>
      <c r="N97" s="81">
        <f t="shared" si="67"/>
        <v>2.6553424239428008E-3</v>
      </c>
      <c r="O97" s="96">
        <f>AVERAGE(C97:I97)</f>
        <v>3.7406291543592082E-3</v>
      </c>
      <c r="P97" s="67">
        <f>AVERAGE(C97:F97,I97)</f>
        <v>3.7558878971715214E-3</v>
      </c>
    </row>
    <row r="98" spans="1:16" x14ac:dyDescent="0.3">
      <c r="A98" s="92" t="s">
        <v>105</v>
      </c>
      <c r="B98" s="93"/>
      <c r="C98" s="93"/>
      <c r="D98" s="93"/>
      <c r="E98" s="93"/>
      <c r="F98" s="93"/>
      <c r="G98" s="93"/>
      <c r="H98" s="93"/>
      <c r="I98" s="93"/>
      <c r="J98" s="74"/>
      <c r="K98" s="75"/>
      <c r="L98" s="75"/>
      <c r="M98" s="75"/>
      <c r="N98" s="75"/>
      <c r="O98" s="94"/>
      <c r="P98" s="95"/>
    </row>
    <row r="99" spans="1:16" x14ac:dyDescent="0.3">
      <c r="A99" s="9" t="s">
        <v>134</v>
      </c>
      <c r="B99" s="101">
        <f>+[1]Historicals!B122</f>
        <v>4653</v>
      </c>
      <c r="C99" s="101">
        <f>+[1]Historicals!C122</f>
        <v>4317</v>
      </c>
      <c r="D99" s="101">
        <f>+[1]Historicals!D122</f>
        <v>4737</v>
      </c>
      <c r="E99" s="101">
        <f>+[1]Historicals!E122</f>
        <v>5166</v>
      </c>
      <c r="F99" s="101">
        <f>+[1]Historicals!F122</f>
        <v>5254</v>
      </c>
      <c r="G99" s="101">
        <f>+[1]Historicals!G122</f>
        <v>5028</v>
      </c>
      <c r="H99" s="101">
        <f>+[1]Historicals!H122</f>
        <v>5343</v>
      </c>
      <c r="I99" s="101">
        <f>+[1]Historicals!I122</f>
        <v>5955</v>
      </c>
      <c r="J99" s="78">
        <f>SUM(J101,J105,J109)</f>
        <v>6260.8935477513278</v>
      </c>
      <c r="K99" s="166">
        <f t="shared" ref="K99:N99" si="68">SUM(K101,K105,K109)</f>
        <v>6583.6219636453288</v>
      </c>
      <c r="L99" s="166">
        <f t="shared" si="68"/>
        <v>6924.1249859117706</v>
      </c>
      <c r="M99" s="166">
        <f t="shared" si="68"/>
        <v>7283.3955473568003</v>
      </c>
      <c r="N99" s="166">
        <f t="shared" si="68"/>
        <v>7662.4828173977694</v>
      </c>
      <c r="O99" s="96"/>
      <c r="P99" s="67"/>
    </row>
    <row r="100" spans="1:16" x14ac:dyDescent="0.3">
      <c r="A100" s="41" t="s">
        <v>127</v>
      </c>
      <c r="B100" s="81" t="str">
        <f t="shared" ref="B100:N100" si="69">+IFERROR(B99/A99-1,"nm")</f>
        <v>nm</v>
      </c>
      <c r="C100" s="81">
        <f t="shared" si="69"/>
        <v>-7.2211476466795599E-2</v>
      </c>
      <c r="D100" s="81">
        <f t="shared" si="69"/>
        <v>9.7289784572619942E-2</v>
      </c>
      <c r="E100" s="81">
        <f t="shared" si="69"/>
        <v>9.0563647878403986E-2</v>
      </c>
      <c r="F100" s="81">
        <f t="shared" si="69"/>
        <v>1.7034456058846237E-2</v>
      </c>
      <c r="G100" s="81">
        <f t="shared" si="69"/>
        <v>-4.3014845831747195E-2</v>
      </c>
      <c r="H100" s="81">
        <f t="shared" si="69"/>
        <v>6.2649164677804237E-2</v>
      </c>
      <c r="I100" s="81">
        <f t="shared" si="69"/>
        <v>0.11454239191465465</v>
      </c>
      <c r="J100" s="82">
        <f t="shared" si="69"/>
        <v>5.1367514315924012E-2</v>
      </c>
      <c r="K100" s="81">
        <f t="shared" si="69"/>
        <v>5.1546702308955972E-2</v>
      </c>
      <c r="L100" s="81">
        <f t="shared" si="69"/>
        <v>5.1719710540291564E-2</v>
      </c>
      <c r="M100" s="81">
        <f t="shared" si="69"/>
        <v>5.1886781676532712E-2</v>
      </c>
      <c r="N100" s="81">
        <f t="shared" si="69"/>
        <v>5.2048150835161344E-2</v>
      </c>
      <c r="O100" s="96">
        <f>AVERAGE(C100:I100)</f>
        <v>3.8121874686255178E-2</v>
      </c>
      <c r="P100" s="67">
        <f>AVERAGE(C100:F100,I100)</f>
        <v>4.9443760791545846E-2</v>
      </c>
    </row>
    <row r="101" spans="1:16" x14ac:dyDescent="0.3">
      <c r="A101" s="42" t="s">
        <v>112</v>
      </c>
      <c r="B101" s="102">
        <f>+[1]Historicals!B123</f>
        <v>3093</v>
      </c>
      <c r="C101" s="102">
        <f>+[1]Historicals!C123</f>
        <v>2930</v>
      </c>
      <c r="D101" s="102">
        <f>+[1]Historicals!D123</f>
        <v>3285</v>
      </c>
      <c r="E101" s="102">
        <f>+[1]Historicals!E123</f>
        <v>3575</v>
      </c>
      <c r="F101" s="102">
        <f>+[1]Historicals!F123</f>
        <v>3622</v>
      </c>
      <c r="G101" s="102">
        <f>+[1]Historicals!G123</f>
        <v>3449</v>
      </c>
      <c r="H101" s="102">
        <f>+[1]Historicals!H123</f>
        <v>3659</v>
      </c>
      <c r="I101" s="102">
        <f>+[1]Historicals!I123</f>
        <v>4111</v>
      </c>
      <c r="J101" s="78">
        <f>I101*(1+$P$102)</f>
        <v>4352.248854015188</v>
      </c>
      <c r="K101" s="44">
        <f>J101*(1+$P$102)</f>
        <v>4607.6550929886935</v>
      </c>
      <c r="L101" s="44">
        <f>K101*(1+$P$102)</f>
        <v>4878.0495252146156</v>
      </c>
      <c r="M101" s="44">
        <f>L101*(1+$P$102)</f>
        <v>5164.3117139247488</v>
      </c>
      <c r="N101" s="44">
        <f>M101*(1+$P$102)</f>
        <v>5467.3728384106544</v>
      </c>
      <c r="O101" s="96"/>
      <c r="P101" s="67"/>
    </row>
    <row r="102" spans="1:16" x14ac:dyDescent="0.3">
      <c r="A102" s="41" t="s">
        <v>127</v>
      </c>
      <c r="B102" s="81" t="str">
        <f t="shared" ref="B102:N102" si="70">+IFERROR(B101/A101-1,"nm")</f>
        <v>nm</v>
      </c>
      <c r="C102" s="81">
        <f t="shared" si="70"/>
        <v>-5.269964435822827E-2</v>
      </c>
      <c r="D102" s="81">
        <f t="shared" si="70"/>
        <v>0.12116040955631391</v>
      </c>
      <c r="E102" s="81">
        <f t="shared" si="70"/>
        <v>8.8280060882800715E-2</v>
      </c>
      <c r="F102" s="81">
        <f t="shared" si="70"/>
        <v>1.3146853146853044E-2</v>
      </c>
      <c r="G102" s="81">
        <f t="shared" si="70"/>
        <v>-4.7763666482606326E-2</v>
      </c>
      <c r="H102" s="81">
        <f t="shared" si="70"/>
        <v>6.0887213685126174E-2</v>
      </c>
      <c r="I102" s="81">
        <f t="shared" si="70"/>
        <v>0.12353101940420874</v>
      </c>
      <c r="J102" s="82">
        <f t="shared" si="70"/>
        <v>5.8683739726389739E-2</v>
      </c>
      <c r="K102" s="81">
        <f t="shared" si="70"/>
        <v>5.8683739726389739E-2</v>
      </c>
      <c r="L102" s="81">
        <f t="shared" si="70"/>
        <v>5.8683739726389739E-2</v>
      </c>
      <c r="M102" s="81">
        <f t="shared" si="70"/>
        <v>5.8683739726389739E-2</v>
      </c>
      <c r="N102" s="81">
        <f t="shared" si="70"/>
        <v>5.8683739726389739E-2</v>
      </c>
      <c r="O102" s="96">
        <f>AVERAGE(C102:I102)</f>
        <v>4.3791749404923995E-2</v>
      </c>
      <c r="P102" s="67">
        <f>AVERAGE(C102:F102,I102)</f>
        <v>5.8683739726389628E-2</v>
      </c>
    </row>
    <row r="103" spans="1:16" x14ac:dyDescent="0.3">
      <c r="A103" s="41" t="s">
        <v>135</v>
      </c>
      <c r="B103" s="81">
        <f>+[1]Historicals!B195</f>
        <v>0.16</v>
      </c>
      <c r="C103" s="81">
        <f>+[1]Historicals!C195</f>
        <v>0.24</v>
      </c>
      <c r="D103" s="81">
        <f>+[1]Historicals!D195</f>
        <v>0.12</v>
      </c>
      <c r="E103" s="81">
        <f>+[1]Historicals!E195</f>
        <v>0.09</v>
      </c>
      <c r="F103" s="81">
        <f>+[1]Historicals!F195</f>
        <v>0.12</v>
      </c>
      <c r="G103" s="81">
        <f>+[1]Historicals!G195</f>
        <v>0</v>
      </c>
      <c r="H103" s="81">
        <f>+[1]Historicals!H195</f>
        <v>0.08</v>
      </c>
      <c r="I103" s="81">
        <f>+[1]Historicals!I195</f>
        <v>0.17</v>
      </c>
      <c r="J103" s="82">
        <f>$P$103</f>
        <v>0.14799999999999999</v>
      </c>
      <c r="K103" s="81">
        <f>$P$103</f>
        <v>0.14799999999999999</v>
      </c>
      <c r="L103" s="81">
        <f>$P$103</f>
        <v>0.14799999999999999</v>
      </c>
      <c r="M103" s="81">
        <f>$P$103</f>
        <v>0.14799999999999999</v>
      </c>
      <c r="N103" s="81">
        <f>$P$103</f>
        <v>0.14799999999999999</v>
      </c>
      <c r="O103" s="96">
        <f>AVERAGE(C103:I103)</f>
        <v>0.11714285714285713</v>
      </c>
      <c r="P103" s="67">
        <f>AVERAGE(C103:F103,I103)</f>
        <v>0.14799999999999999</v>
      </c>
    </row>
    <row r="104" spans="1:16" x14ac:dyDescent="0.3">
      <c r="A104" s="41" t="s">
        <v>136</v>
      </c>
      <c r="B104" s="81" t="str">
        <f t="shared" ref="B104:N104" si="71">+IFERROR(B102-B103,"nm")</f>
        <v>nm</v>
      </c>
      <c r="C104" s="81">
        <f t="shared" si="71"/>
        <v>-0.29269964435822826</v>
      </c>
      <c r="D104" s="81">
        <f t="shared" si="71"/>
        <v>1.1604095563139127E-3</v>
      </c>
      <c r="E104" s="81">
        <f t="shared" si="71"/>
        <v>-1.7199391171992817E-3</v>
      </c>
      <c r="F104" s="81">
        <f t="shared" si="71"/>
        <v>-0.10685314685314695</v>
      </c>
      <c r="G104" s="81">
        <f t="shared" si="71"/>
        <v>-4.7763666482606326E-2</v>
      </c>
      <c r="H104" s="81">
        <f t="shared" si="71"/>
        <v>-1.9112786314873828E-2</v>
      </c>
      <c r="I104" s="81">
        <f t="shared" si="71"/>
        <v>-4.646898059579127E-2</v>
      </c>
      <c r="J104" s="82">
        <f t="shared" si="71"/>
        <v>-8.9316260273610254E-2</v>
      </c>
      <c r="K104" s="81">
        <f t="shared" si="71"/>
        <v>-8.9316260273610254E-2</v>
      </c>
      <c r="L104" s="81">
        <f t="shared" si="71"/>
        <v>-8.9316260273610254E-2</v>
      </c>
      <c r="M104" s="81">
        <f t="shared" si="71"/>
        <v>-8.9316260273610254E-2</v>
      </c>
      <c r="N104" s="81">
        <f t="shared" si="71"/>
        <v>-8.9316260273610254E-2</v>
      </c>
      <c r="O104" s="96">
        <f>AVERAGE(C104:I104)</f>
        <v>-7.3351107737933144E-2</v>
      </c>
      <c r="P104" s="67">
        <f>AVERAGE(C104:F104,I104)</f>
        <v>-8.9316260273610365E-2</v>
      </c>
    </row>
    <row r="105" spans="1:16" x14ac:dyDescent="0.3">
      <c r="A105" s="42" t="s">
        <v>113</v>
      </c>
      <c r="B105" s="102">
        <f>+[1]Historicals!B124</f>
        <v>1251</v>
      </c>
      <c r="C105" s="102">
        <f>+[1]Historicals!C124</f>
        <v>1117</v>
      </c>
      <c r="D105" s="102">
        <f>+[1]Historicals!D124</f>
        <v>1185</v>
      </c>
      <c r="E105" s="102">
        <f>+[1]Historicals!E124</f>
        <v>1347</v>
      </c>
      <c r="F105" s="102">
        <f>+[1]Historicals!F124</f>
        <v>1395</v>
      </c>
      <c r="G105" s="102">
        <f>+[1]Historicals!G124</f>
        <v>1365</v>
      </c>
      <c r="H105" s="102">
        <f>+[1]Historicals!H124</f>
        <v>1494</v>
      </c>
      <c r="I105" s="102">
        <f>+[1]Historicals!I124</f>
        <v>1610</v>
      </c>
      <c r="J105" s="78">
        <f>I105*(1+$P$106)</f>
        <v>1675.6076787407792</v>
      </c>
      <c r="K105" s="44">
        <f>J105*(1+$P$106)</f>
        <v>1743.8888776739518</v>
      </c>
      <c r="L105" s="44">
        <f>K105*(1+$P$106)</f>
        <v>1814.9525430441695</v>
      </c>
      <c r="M105" s="44">
        <f>L105*(1+$P$106)</f>
        <v>1888.912060667649</v>
      </c>
      <c r="N105" s="44">
        <f>M105*(1+$P$106)</f>
        <v>1965.8854368452057</v>
      </c>
      <c r="O105" s="96"/>
      <c r="P105" s="67"/>
    </row>
    <row r="106" spans="1:16" x14ac:dyDescent="0.3">
      <c r="A106" s="41" t="s">
        <v>127</v>
      </c>
      <c r="B106" s="81" t="str">
        <f t="shared" ref="B106:N106" si="72">+IFERROR(B105/A105-1,"nm")</f>
        <v>nm</v>
      </c>
      <c r="C106" s="81">
        <f t="shared" si="72"/>
        <v>-0.10711430855315751</v>
      </c>
      <c r="D106" s="81">
        <f t="shared" si="72"/>
        <v>6.0877350044762801E-2</v>
      </c>
      <c r="E106" s="81">
        <f t="shared" si="72"/>
        <v>0.13670886075949373</v>
      </c>
      <c r="F106" s="81">
        <f t="shared" si="72"/>
        <v>3.563474387527843E-2</v>
      </c>
      <c r="G106" s="81">
        <f t="shared" si="72"/>
        <v>-2.1505376344086002E-2</v>
      </c>
      <c r="H106" s="81">
        <f t="shared" si="72"/>
        <v>9.4505494505494614E-2</v>
      </c>
      <c r="I106" s="81">
        <f t="shared" si="72"/>
        <v>7.7643908969210251E-2</v>
      </c>
      <c r="J106" s="82">
        <f t="shared" si="72"/>
        <v>4.0750111019117519E-2</v>
      </c>
      <c r="K106" s="81">
        <f t="shared" si="72"/>
        <v>4.0750111019117519E-2</v>
      </c>
      <c r="L106" s="81">
        <f t="shared" si="72"/>
        <v>4.0750111019117519E-2</v>
      </c>
      <c r="M106" s="81">
        <f t="shared" si="72"/>
        <v>4.0750111019117519E-2</v>
      </c>
      <c r="N106" s="81">
        <f t="shared" si="72"/>
        <v>4.0750111019117519E-2</v>
      </c>
      <c r="O106" s="96">
        <f>AVERAGE(C106:I106)</f>
        <v>3.953581046528519E-2</v>
      </c>
      <c r="P106" s="67">
        <f>AVERAGE(C106:F106,I106)</f>
        <v>4.0750111019117539E-2</v>
      </c>
    </row>
    <row r="107" spans="1:16" x14ac:dyDescent="0.3">
      <c r="A107" s="41" t="s">
        <v>135</v>
      </c>
      <c r="B107" s="81">
        <f>+[1]Historicals!B196</f>
        <v>-0.02</v>
      </c>
      <c r="C107" s="81">
        <f>+[1]Historicals!C196</f>
        <v>-0.04</v>
      </c>
      <c r="D107" s="81">
        <f>+[1]Historicals!D196</f>
        <v>0.06</v>
      </c>
      <c r="E107" s="81">
        <f>+[1]Historicals!E196</f>
        <v>0.15</v>
      </c>
      <c r="F107" s="81">
        <f>+[1]Historicals!F196</f>
        <v>0.15</v>
      </c>
      <c r="G107" s="81">
        <f>+[1]Historicals!G196</f>
        <v>0.03</v>
      </c>
      <c r="H107" s="81">
        <f>+[1]Historicals!H196</f>
        <v>0.1</v>
      </c>
      <c r="I107" s="81">
        <f>+[1]Historicals!I196</f>
        <v>0.12</v>
      </c>
      <c r="J107" s="97">
        <f>$P$107</f>
        <v>8.7999999999999995E-2</v>
      </c>
      <c r="K107" s="98">
        <f>$P$107</f>
        <v>8.7999999999999995E-2</v>
      </c>
      <c r="L107" s="98">
        <f>$P$107</f>
        <v>8.7999999999999995E-2</v>
      </c>
      <c r="M107" s="98">
        <f>$P$107</f>
        <v>8.7999999999999995E-2</v>
      </c>
      <c r="N107" s="98">
        <f>$P$107</f>
        <v>8.7999999999999995E-2</v>
      </c>
      <c r="O107" s="96">
        <f>AVERAGE(C107:I107)</f>
        <v>8.142857142857142E-2</v>
      </c>
      <c r="P107" s="67">
        <f>AVERAGE(C107:F107,I107)</f>
        <v>8.7999999999999995E-2</v>
      </c>
    </row>
    <row r="108" spans="1:16" x14ac:dyDescent="0.3">
      <c r="A108" s="41" t="s">
        <v>136</v>
      </c>
      <c r="B108" s="81" t="str">
        <f t="shared" ref="B108:N108" si="73">+IFERROR(B106-B107,"nm")</f>
        <v>nm</v>
      </c>
      <c r="C108" s="81">
        <f t="shared" si="73"/>
        <v>-6.7114308553157503E-2</v>
      </c>
      <c r="D108" s="81">
        <f t="shared" si="73"/>
        <v>8.7735004476280354E-4</v>
      </c>
      <c r="E108" s="81">
        <f t="shared" si="73"/>
        <v>-1.3291139240506261E-2</v>
      </c>
      <c r="F108" s="81">
        <f t="shared" si="73"/>
        <v>-0.11436525612472156</v>
      </c>
      <c r="G108" s="81">
        <f t="shared" si="73"/>
        <v>-5.1505376344086001E-2</v>
      </c>
      <c r="H108" s="81">
        <f t="shared" si="73"/>
        <v>-5.4945054945053917E-3</v>
      </c>
      <c r="I108" s="81">
        <f t="shared" si="73"/>
        <v>-4.2356091030789744E-2</v>
      </c>
      <c r="J108" s="82">
        <f t="shared" si="73"/>
        <v>-4.7249888980882476E-2</v>
      </c>
      <c r="K108" s="81">
        <f t="shared" si="73"/>
        <v>-4.7249888980882476E-2</v>
      </c>
      <c r="L108" s="81">
        <f t="shared" si="73"/>
        <v>-4.7249888980882476E-2</v>
      </c>
      <c r="M108" s="81">
        <f t="shared" si="73"/>
        <v>-4.7249888980882476E-2</v>
      </c>
      <c r="N108" s="81">
        <f t="shared" si="73"/>
        <v>-4.7249888980882476E-2</v>
      </c>
      <c r="O108" s="96">
        <f>AVERAGE(C108:I108)</f>
        <v>-4.1892760963286237E-2</v>
      </c>
      <c r="P108" s="67">
        <f>AVERAGE(C108:F108,I108)</f>
        <v>-4.7249888980882455E-2</v>
      </c>
    </row>
    <row r="109" spans="1:16" x14ac:dyDescent="0.3">
      <c r="A109" s="42" t="s">
        <v>114</v>
      </c>
      <c r="B109" s="103">
        <f>+[1]Historicals!B125</f>
        <v>309</v>
      </c>
      <c r="C109" s="103">
        <f>+[1]Historicals!C125</f>
        <v>270</v>
      </c>
      <c r="D109" s="103">
        <f>+[1]Historicals!D125</f>
        <v>267</v>
      </c>
      <c r="E109" s="103">
        <f>+[1]Historicals!E125</f>
        <v>244</v>
      </c>
      <c r="F109" s="103">
        <f>+[1]Historicals!F125</f>
        <v>237</v>
      </c>
      <c r="G109" s="103">
        <f>+[1]Historicals!G125</f>
        <v>214</v>
      </c>
      <c r="H109" s="103">
        <f>+[1]Historicals!H125</f>
        <v>190</v>
      </c>
      <c r="I109" s="103">
        <f>+[1]Historicals!I125</f>
        <v>234</v>
      </c>
      <c r="J109" s="78">
        <f>I109*(1+$P$110)</f>
        <v>233.03701499536027</v>
      </c>
      <c r="K109" s="44">
        <f>J109*(1+$P$110)</f>
        <v>232.07799298268276</v>
      </c>
      <c r="L109" s="44">
        <f>K109*(1+$P$110)</f>
        <v>231.12291765298528</v>
      </c>
      <c r="M109" s="44">
        <f>L109*(1+$P$110)</f>
        <v>230.17177276440233</v>
      </c>
      <c r="N109" s="44">
        <f>M109*(1+$P$110)</f>
        <v>229.2245421419089</v>
      </c>
      <c r="O109" s="96"/>
      <c r="P109" s="67"/>
    </row>
    <row r="110" spans="1:16" x14ac:dyDescent="0.3">
      <c r="A110" s="41" t="s">
        <v>127</v>
      </c>
      <c r="B110" s="81" t="str">
        <f t="shared" ref="B110:N110" si="74">+IFERROR(B109/A109-1,"nm")</f>
        <v>nm</v>
      </c>
      <c r="C110" s="81">
        <f t="shared" si="74"/>
        <v>-0.12621359223300976</v>
      </c>
      <c r="D110" s="81">
        <f t="shared" si="74"/>
        <v>-1.1111111111111072E-2</v>
      </c>
      <c r="E110" s="81">
        <f t="shared" si="74"/>
        <v>-8.6142322097378266E-2</v>
      </c>
      <c r="F110" s="81">
        <f t="shared" si="74"/>
        <v>-2.8688524590163911E-2</v>
      </c>
      <c r="G110" s="81">
        <f t="shared" si="74"/>
        <v>-9.7046413502109741E-2</v>
      </c>
      <c r="H110" s="81">
        <f t="shared" si="74"/>
        <v>-0.11214953271028039</v>
      </c>
      <c r="I110" s="81">
        <f t="shared" si="74"/>
        <v>0.23157894736842111</v>
      </c>
      <c r="J110" s="82">
        <f t="shared" si="74"/>
        <v>-4.1153205326484033E-3</v>
      </c>
      <c r="K110" s="81">
        <f t="shared" si="74"/>
        <v>-4.1153205326484033E-3</v>
      </c>
      <c r="L110" s="81">
        <f t="shared" si="74"/>
        <v>-4.1153205326484033E-3</v>
      </c>
      <c r="M110" s="81">
        <f t="shared" si="74"/>
        <v>-4.1153205326484033E-3</v>
      </c>
      <c r="N110" s="81">
        <f t="shared" si="74"/>
        <v>-4.1153205326484033E-3</v>
      </c>
      <c r="O110" s="96">
        <f>AVERAGE(C110:I110)</f>
        <v>-3.2824649839376004E-2</v>
      </c>
      <c r="P110" s="67">
        <f>AVERAGE(C110:F110,I110)</f>
        <v>-4.1153205326483807E-3</v>
      </c>
    </row>
    <row r="111" spans="1:16" x14ac:dyDescent="0.3">
      <c r="A111" s="41" t="s">
        <v>135</v>
      </c>
      <c r="B111" s="81">
        <f>+[1]Historicals!B197</f>
        <v>-0.01</v>
      </c>
      <c r="C111" s="81">
        <f>+[1]Historicals!C197</f>
        <v>7.0000000000000007E-2</v>
      </c>
      <c r="D111" s="81">
        <f>+[1]Historicals!D197</f>
        <v>-0.01</v>
      </c>
      <c r="E111" s="81">
        <f>+[1]Historicals!E197</f>
        <v>-0.08</v>
      </c>
      <c r="F111" s="81">
        <f>+[1]Historicals!F197</f>
        <v>0.08</v>
      </c>
      <c r="G111" s="81">
        <f>+[1]Historicals!G197</f>
        <v>-0.04</v>
      </c>
      <c r="H111" s="81">
        <f>+[1]Historicals!H197</f>
        <v>-0.09</v>
      </c>
      <c r="I111" s="81">
        <f>+[1]Historicals!I197</f>
        <v>0.28000000000000003</v>
      </c>
      <c r="J111" s="97">
        <f>$P$111</f>
        <v>6.8000000000000005E-2</v>
      </c>
      <c r="K111" s="98">
        <f>$P$111</f>
        <v>6.8000000000000005E-2</v>
      </c>
      <c r="L111" s="98">
        <f>$P$111</f>
        <v>6.8000000000000005E-2</v>
      </c>
      <c r="M111" s="98">
        <f>$P$111</f>
        <v>6.8000000000000005E-2</v>
      </c>
      <c r="N111" s="98">
        <f>$P$111</f>
        <v>6.8000000000000005E-2</v>
      </c>
      <c r="O111" s="96">
        <f>AVERAGE(C111:I111)</f>
        <v>3.0000000000000002E-2</v>
      </c>
      <c r="P111" s="67">
        <f>AVERAGE(C111:F111,I111)</f>
        <v>6.8000000000000005E-2</v>
      </c>
    </row>
    <row r="112" spans="1:16" x14ac:dyDescent="0.3">
      <c r="A112" s="41" t="s">
        <v>136</v>
      </c>
      <c r="B112" s="81" t="str">
        <f t="shared" ref="B112:N112" si="75">+IFERROR(B110-B111,"nm")</f>
        <v>nm</v>
      </c>
      <c r="C112" s="81">
        <f t="shared" si="75"/>
        <v>-0.19621359223300977</v>
      </c>
      <c r="D112" s="81">
        <f t="shared" si="75"/>
        <v>-1.1111111111110714E-3</v>
      </c>
      <c r="E112" s="81">
        <f t="shared" si="75"/>
        <v>-6.1423220973782638E-3</v>
      </c>
      <c r="F112" s="81">
        <f t="shared" si="75"/>
        <v>-0.10868852459016391</v>
      </c>
      <c r="G112" s="81">
        <f t="shared" si="75"/>
        <v>-5.704641350210974E-2</v>
      </c>
      <c r="H112" s="81">
        <f t="shared" si="75"/>
        <v>-2.214953271028039E-2</v>
      </c>
      <c r="I112" s="81">
        <f t="shared" si="75"/>
        <v>-4.842105263157892E-2</v>
      </c>
      <c r="J112" s="82">
        <f t="shared" si="75"/>
        <v>-7.2115320532648408E-2</v>
      </c>
      <c r="K112" s="81">
        <f t="shared" si="75"/>
        <v>-7.2115320532648408E-2</v>
      </c>
      <c r="L112" s="81">
        <f t="shared" si="75"/>
        <v>-7.2115320532648408E-2</v>
      </c>
      <c r="M112" s="81">
        <f t="shared" si="75"/>
        <v>-7.2115320532648408E-2</v>
      </c>
      <c r="N112" s="81">
        <f t="shared" si="75"/>
        <v>-7.2115320532648408E-2</v>
      </c>
      <c r="O112" s="96">
        <f>AVERAGE(C112:I112)</f>
        <v>-6.2824649839376009E-2</v>
      </c>
      <c r="P112" s="67">
        <f>AVERAGE(C112:F112,I112)</f>
        <v>-7.211532053264838E-2</v>
      </c>
    </row>
    <row r="113" spans="1:17" x14ac:dyDescent="0.3">
      <c r="A113" s="9" t="s">
        <v>128</v>
      </c>
      <c r="B113" s="101">
        <f>+[1]Historicals!B140+[1]Historicals!B173</f>
        <v>967</v>
      </c>
      <c r="C113" s="101">
        <f>+[1]Historicals!C140+[1]Historicals!C173</f>
        <v>1044</v>
      </c>
      <c r="D113" s="101">
        <f>+[1]Historicals!D140+[1]Historicals!D173</f>
        <v>1034</v>
      </c>
      <c r="E113" s="101">
        <f>+[1]Historicals!E140+[1]Historicals!E173</f>
        <v>1244</v>
      </c>
      <c r="F113" s="101">
        <f>+[1]Historicals!F140+[1]Historicals!F173</f>
        <v>1376</v>
      </c>
      <c r="G113" s="101">
        <f>+[1]Historicals!G140+[1]Historicals!G173</f>
        <v>1230</v>
      </c>
      <c r="H113" s="101">
        <f>+[1]Historicals!H140+[1]Historicals!H173</f>
        <v>1573</v>
      </c>
      <c r="I113" s="101">
        <f>+[1]Historicals!I140+[1]Historicals!I173</f>
        <v>1938</v>
      </c>
      <c r="J113" s="78">
        <f>I113*(1+$P$114)</f>
        <v>2174.9375386741854</v>
      </c>
      <c r="K113" s="44">
        <f>J113*(1+$P$114)</f>
        <v>2440.8427745790109</v>
      </c>
      <c r="L113" s="44">
        <f>K113*(1+$P$114)</f>
        <v>2739.2572633816012</v>
      </c>
      <c r="M113" s="44">
        <f>L113*(1+$P$114)</f>
        <v>3074.1555470663384</v>
      </c>
      <c r="N113" s="44">
        <f>M113*(1+$P$114)</f>
        <v>3449.9980903189139</v>
      </c>
      <c r="O113" s="96"/>
      <c r="P113" s="67"/>
    </row>
    <row r="114" spans="1:17" x14ac:dyDescent="0.3">
      <c r="A114" s="43" t="s">
        <v>127</v>
      </c>
      <c r="B114" s="81" t="str">
        <f t="shared" ref="B114:N114" si="76">+IFERROR(B113/A113-1,"nm")</f>
        <v>nm</v>
      </c>
      <c r="C114" s="81">
        <f t="shared" si="76"/>
        <v>7.962771458117901E-2</v>
      </c>
      <c r="D114" s="81">
        <f t="shared" si="76"/>
        <v>-9.5785440613026518E-3</v>
      </c>
      <c r="E114" s="81">
        <f t="shared" si="76"/>
        <v>0.20309477756286265</v>
      </c>
      <c r="F114" s="81">
        <f t="shared" si="76"/>
        <v>0.10610932475884249</v>
      </c>
      <c r="G114" s="81">
        <f t="shared" si="76"/>
        <v>-0.10610465116279066</v>
      </c>
      <c r="H114" s="81">
        <f t="shared" si="76"/>
        <v>0.27886178861788613</v>
      </c>
      <c r="I114" s="81">
        <f t="shared" si="76"/>
        <v>0.23204068658614108</v>
      </c>
      <c r="J114" s="82">
        <f t="shared" si="76"/>
        <v>0.12225879188554467</v>
      </c>
      <c r="K114" s="81">
        <f t="shared" si="76"/>
        <v>0.12225879188554445</v>
      </c>
      <c r="L114" s="81">
        <f t="shared" si="76"/>
        <v>0.12225879188554445</v>
      </c>
      <c r="M114" s="81">
        <f t="shared" si="76"/>
        <v>0.12225879188554445</v>
      </c>
      <c r="N114" s="81">
        <f t="shared" si="76"/>
        <v>0.12225879188554445</v>
      </c>
      <c r="O114" s="96">
        <f>AVERAGE(C114:I114)</f>
        <v>0.11200729955468829</v>
      </c>
      <c r="P114" s="67">
        <f>AVERAGE(C114:F114,I114)</f>
        <v>0.12225879188554452</v>
      </c>
    </row>
    <row r="115" spans="1:17" x14ac:dyDescent="0.3">
      <c r="A115" s="43" t="s">
        <v>129</v>
      </c>
      <c r="B115" s="81">
        <f t="shared" ref="B115:N115" si="77">+IFERROR(B113/B$18,"nm")</f>
        <v>7.0378457059679767E-2</v>
      </c>
      <c r="C115" s="81">
        <f t="shared" si="77"/>
        <v>7.0712544026009211E-2</v>
      </c>
      <c r="D115" s="81">
        <f t="shared" si="77"/>
        <v>6.7954784437434274E-2</v>
      </c>
      <c r="E115" s="81">
        <f t="shared" si="77"/>
        <v>8.374284752608549E-2</v>
      </c>
      <c r="F115" s="81">
        <f t="shared" si="77"/>
        <v>8.6529996226889699E-2</v>
      </c>
      <c r="G115" s="81">
        <f t="shared" si="77"/>
        <v>8.4921292460646225E-2</v>
      </c>
      <c r="H115" s="81">
        <f t="shared" si="77"/>
        <v>9.1565283194598057E-2</v>
      </c>
      <c r="I115" s="81">
        <f t="shared" si="77"/>
        <v>0.10559581539802756</v>
      </c>
      <c r="J115" s="82">
        <f t="shared" si="77"/>
        <v>0.11329662392773721</v>
      </c>
      <c r="K115" s="81">
        <f t="shared" si="77"/>
        <v>0.1215438636326619</v>
      </c>
      <c r="L115" s="81">
        <f t="shared" si="77"/>
        <v>0.13037589558309032</v>
      </c>
      <c r="M115" s="81">
        <f t="shared" si="77"/>
        <v>0.13983376227851715</v>
      </c>
      <c r="N115" s="81">
        <f t="shared" si="77"/>
        <v>0.14996137407745194</v>
      </c>
      <c r="O115" s="96">
        <f>AVERAGE(C115:I115)</f>
        <v>8.4431794752812928E-2</v>
      </c>
      <c r="P115" s="67">
        <f>AVERAGE(C115:F115,I115)</f>
        <v>8.2907197522889248E-2</v>
      </c>
    </row>
    <row r="116" spans="1:17" x14ac:dyDescent="0.3">
      <c r="A116" s="9" t="s">
        <v>130</v>
      </c>
      <c r="B116" s="101">
        <f>+[1]Historicals!B173</f>
        <v>49</v>
      </c>
      <c r="C116" s="101">
        <f>+[1]Historicals!C173</f>
        <v>42</v>
      </c>
      <c r="D116" s="101">
        <f>+[1]Historicals!D173</f>
        <v>54</v>
      </c>
      <c r="E116" s="101">
        <f>+[1]Historicals!E173</f>
        <v>55</v>
      </c>
      <c r="F116" s="101">
        <f>+[1]Historicals!F173</f>
        <v>53</v>
      </c>
      <c r="G116" s="101">
        <f>+[1]Historicals!G173</f>
        <v>46</v>
      </c>
      <c r="H116" s="101">
        <f>+[1]Historicals!H173</f>
        <v>43</v>
      </c>
      <c r="I116" s="101">
        <f>+[1]Historicals!I173</f>
        <v>42</v>
      </c>
      <c r="J116" s="78">
        <f>I116*(1+$P$117)</f>
        <v>42.854752172891708</v>
      </c>
      <c r="K116" s="44">
        <f>J116*(1+$P$117)</f>
        <v>43.726899614284918</v>
      </c>
      <c r="L116" s="44">
        <f>K116*(1+$P$117)</f>
        <v>44.616796339502244</v>
      </c>
      <c r="M116" s="44">
        <f>L116*(1+$P$117)</f>
        <v>45.524803568517875</v>
      </c>
      <c r="N116" s="44">
        <f>M116*(1+$P$117)</f>
        <v>46.451289872581185</v>
      </c>
      <c r="O116" s="96"/>
      <c r="P116" s="67"/>
    </row>
    <row r="117" spans="1:17" x14ac:dyDescent="0.3">
      <c r="A117" s="43" t="s">
        <v>127</v>
      </c>
      <c r="B117" s="81" t="str">
        <f t="shared" ref="B117:N117" si="78">+IFERROR(B116/A116-1,"nm")</f>
        <v>nm</v>
      </c>
      <c r="C117" s="81">
        <f t="shared" si="78"/>
        <v>-0.1428571428571429</v>
      </c>
      <c r="D117" s="81">
        <f t="shared" si="78"/>
        <v>0.28571428571428581</v>
      </c>
      <c r="E117" s="81">
        <f t="shared" si="78"/>
        <v>1.8518518518518601E-2</v>
      </c>
      <c r="F117" s="81">
        <f t="shared" si="78"/>
        <v>-3.6363636363636376E-2</v>
      </c>
      <c r="G117" s="81">
        <f t="shared" si="78"/>
        <v>-0.13207547169811318</v>
      </c>
      <c r="H117" s="81">
        <f t="shared" si="78"/>
        <v>-6.5217391304347783E-2</v>
      </c>
      <c r="I117" s="81">
        <f t="shared" si="78"/>
        <v>-2.3255813953488413E-2</v>
      </c>
      <c r="J117" s="82">
        <f t="shared" si="78"/>
        <v>2.0351242211707365E-2</v>
      </c>
      <c r="K117" s="81">
        <f t="shared" si="78"/>
        <v>2.0351242211707365E-2</v>
      </c>
      <c r="L117" s="81">
        <f t="shared" si="78"/>
        <v>2.0351242211707365E-2</v>
      </c>
      <c r="M117" s="81">
        <f t="shared" si="78"/>
        <v>2.0351242211707365E-2</v>
      </c>
      <c r="N117" s="81">
        <f t="shared" si="78"/>
        <v>2.0351242211707365E-2</v>
      </c>
      <c r="O117" s="96">
        <f>AVERAGE(C117:I117)</f>
        <v>-1.364809313484632E-2</v>
      </c>
      <c r="P117" s="67">
        <f>AVERAGE(C117:F117,I117)</f>
        <v>2.0351242211707345E-2</v>
      </c>
    </row>
    <row r="118" spans="1:17" x14ac:dyDescent="0.3">
      <c r="A118" s="43" t="s">
        <v>131</v>
      </c>
      <c r="B118" s="81">
        <f t="shared" ref="B118:N118" si="79">+IFERROR(B116/B$18,"nm")</f>
        <v>3.5662299854439593E-3</v>
      </c>
      <c r="C118" s="81">
        <f t="shared" si="79"/>
        <v>2.8447575182877268E-3</v>
      </c>
      <c r="D118" s="81">
        <f t="shared" si="79"/>
        <v>3.5488958990536278E-3</v>
      </c>
      <c r="E118" s="81">
        <f t="shared" si="79"/>
        <v>3.7024570851565131E-3</v>
      </c>
      <c r="F118" s="81">
        <f t="shared" si="79"/>
        <v>3.33291409885549E-3</v>
      </c>
      <c r="G118" s="81">
        <f t="shared" si="79"/>
        <v>3.1759182546257938E-3</v>
      </c>
      <c r="H118" s="81">
        <f t="shared" si="79"/>
        <v>2.5030560568135513E-3</v>
      </c>
      <c r="I118" s="81">
        <f t="shared" si="79"/>
        <v>2.2884542036724241E-3</v>
      </c>
      <c r="J118" s="82">
        <f t="shared" si="79"/>
        <v>2.2323853692866142E-3</v>
      </c>
      <c r="K118" s="81">
        <f t="shared" si="79"/>
        <v>2.1774185454097555E-3</v>
      </c>
      <c r="L118" s="81">
        <f t="shared" si="79"/>
        <v>2.1235518323057929E-3</v>
      </c>
      <c r="M118" s="81">
        <f t="shared" si="79"/>
        <v>2.0707815406579835E-3</v>
      </c>
      <c r="N118" s="81">
        <f t="shared" si="79"/>
        <v>2.0191023515373548E-3</v>
      </c>
      <c r="O118" s="96">
        <f>AVERAGE(C118:I118)</f>
        <v>3.056636159495018E-3</v>
      </c>
      <c r="P118" s="67">
        <f>AVERAGE(C118:F118,I118)</f>
        <v>3.1434957610051565E-3</v>
      </c>
    </row>
    <row r="119" spans="1:17" x14ac:dyDescent="0.3">
      <c r="A119" s="9" t="s">
        <v>132</v>
      </c>
      <c r="B119" s="101">
        <f>+[1]Historicals!B140</f>
        <v>918</v>
      </c>
      <c r="C119" s="101">
        <f>+[1]Historicals!C140</f>
        <v>1002</v>
      </c>
      <c r="D119" s="101">
        <f>+[1]Historicals!D140</f>
        <v>980</v>
      </c>
      <c r="E119" s="101">
        <f>+[1]Historicals!E140</f>
        <v>1189</v>
      </c>
      <c r="F119" s="101">
        <f>+[1]Historicals!F140</f>
        <v>1323</v>
      </c>
      <c r="G119" s="101">
        <f>+[1]Historicals!G140</f>
        <v>1184</v>
      </c>
      <c r="H119" s="101">
        <f>+[1]Historicals!H140</f>
        <v>1530</v>
      </c>
      <c r="I119" s="101">
        <f>+[1]Historicals!I140</f>
        <v>1896</v>
      </c>
      <c r="J119" s="78">
        <f>I119*(1+$P$120)</f>
        <v>2136.6888273525792</v>
      </c>
      <c r="K119" s="44">
        <f>J119*(1+$P$120)</f>
        <v>2407.9320384669518</v>
      </c>
      <c r="L119" s="44">
        <f>K119*(1+$P$120)</f>
        <v>2713.6083774349459</v>
      </c>
      <c r="M119" s="44">
        <f>L119*(1+$P$120)</f>
        <v>3058.0889777824946</v>
      </c>
      <c r="N119" s="44">
        <f>M119*(1+$P$120)</f>
        <v>3446.2998691339276</v>
      </c>
      <c r="O119" s="96"/>
      <c r="P119" s="67"/>
    </row>
    <row r="120" spans="1:17" x14ac:dyDescent="0.3">
      <c r="A120" s="43" t="s">
        <v>127</v>
      </c>
      <c r="B120" s="81" t="str">
        <f t="shared" ref="B120:N120" si="80">+IFERROR(B119/A119-1,"nm")</f>
        <v>nm</v>
      </c>
      <c r="C120" s="81">
        <f t="shared" si="80"/>
        <v>9.1503267973856106E-2</v>
      </c>
      <c r="D120" s="81">
        <f t="shared" si="80"/>
        <v>-2.1956087824351322E-2</v>
      </c>
      <c r="E120" s="81">
        <f t="shared" si="80"/>
        <v>0.21326530612244898</v>
      </c>
      <c r="F120" s="81">
        <f t="shared" si="80"/>
        <v>0.11269974768713209</v>
      </c>
      <c r="G120" s="81">
        <f t="shared" si="80"/>
        <v>-0.1050642479213908</v>
      </c>
      <c r="H120" s="81">
        <f t="shared" si="80"/>
        <v>0.29222972972972983</v>
      </c>
      <c r="I120" s="81">
        <f t="shared" si="80"/>
        <v>0.23921568627450984</v>
      </c>
      <c r="J120" s="82">
        <f t="shared" si="80"/>
        <v>0.12694558404671907</v>
      </c>
      <c r="K120" s="81">
        <f t="shared" si="80"/>
        <v>0.12694558404671907</v>
      </c>
      <c r="L120" s="81">
        <f t="shared" si="80"/>
        <v>0.12694558404671907</v>
      </c>
      <c r="M120" s="81">
        <f t="shared" si="80"/>
        <v>0.12694558404671907</v>
      </c>
      <c r="N120" s="81">
        <f t="shared" si="80"/>
        <v>0.12694558404671907</v>
      </c>
      <c r="O120" s="96">
        <f>AVERAGE(C120:I120)</f>
        <v>0.11741334314884781</v>
      </c>
      <c r="P120" s="67">
        <f>AVERAGE(C120:F120,I120)</f>
        <v>0.12694558404671913</v>
      </c>
    </row>
    <row r="121" spans="1:17" x14ac:dyDescent="0.3">
      <c r="A121" s="43" t="s">
        <v>129</v>
      </c>
      <c r="B121" s="81">
        <f t="shared" ref="B121:N121" si="81">+IFERROR(B119/B$18,"nm")</f>
        <v>6.6812227074235814E-2</v>
      </c>
      <c r="C121" s="81">
        <f t="shared" si="81"/>
        <v>6.7867786507721489E-2</v>
      </c>
      <c r="D121" s="81">
        <f t="shared" si="81"/>
        <v>6.4405888538380654E-2</v>
      </c>
      <c r="E121" s="81">
        <f t="shared" si="81"/>
        <v>8.0040390440928977E-2</v>
      </c>
      <c r="F121" s="81">
        <f t="shared" si="81"/>
        <v>8.3197082128034214E-2</v>
      </c>
      <c r="G121" s="81">
        <f t="shared" si="81"/>
        <v>8.1745374206020432E-2</v>
      </c>
      <c r="H121" s="81">
        <f t="shared" si="81"/>
        <v>8.90622271377845E-2</v>
      </c>
      <c r="I121" s="81">
        <f t="shared" si="81"/>
        <v>0.10330736119435514</v>
      </c>
      <c r="J121" s="82">
        <f t="shared" si="81"/>
        <v>0.11130417596761499</v>
      </c>
      <c r="K121" s="81">
        <f t="shared" si="81"/>
        <v>0.11990504524431053</v>
      </c>
      <c r="L121" s="81">
        <f t="shared" si="81"/>
        <v>0.12915512799739973</v>
      </c>
      <c r="M121" s="81">
        <f t="shared" si="81"/>
        <v>0.13910294407642185</v>
      </c>
      <c r="N121" s="81">
        <f t="shared" si="81"/>
        <v>0.14980062316802417</v>
      </c>
      <c r="O121" s="96">
        <f>AVERAGE(C121:I121)</f>
        <v>8.1375158593317926E-2</v>
      </c>
      <c r="P121" s="67">
        <f>AVERAGE(C121:F121,I121)</f>
        <v>7.9763701761884104E-2</v>
      </c>
    </row>
    <row r="122" spans="1:17" x14ac:dyDescent="0.3">
      <c r="A122" s="9" t="s">
        <v>133</v>
      </c>
      <c r="B122" s="104">
        <f>+[1]Historicals!B162</f>
        <v>52</v>
      </c>
      <c r="C122" s="104">
        <f>+[1]Historicals!C162</f>
        <v>62</v>
      </c>
      <c r="D122" s="104">
        <f>+[1]Historicals!D162</f>
        <v>59</v>
      </c>
      <c r="E122" s="104">
        <f>+[1]Historicals!E162</f>
        <v>49</v>
      </c>
      <c r="F122" s="104">
        <f>+[1]Historicals!F162</f>
        <v>47</v>
      </c>
      <c r="G122" s="104">
        <f>+[1]Historicals!G162</f>
        <v>41</v>
      </c>
      <c r="H122" s="104">
        <f>+[1]Historicals!H162</f>
        <v>54</v>
      </c>
      <c r="I122" s="104">
        <f>+[1]Historicals!I162</f>
        <v>56</v>
      </c>
      <c r="J122" s="78">
        <f>I122*(1+$P$123)</f>
        <v>55.671277542901379</v>
      </c>
      <c r="K122" s="44">
        <f>J122*(1+$P$123)</f>
        <v>55.344484701049204</v>
      </c>
      <c r="L122" s="44">
        <f>K122*(1+$P$123)</f>
        <v>55.019610147517312</v>
      </c>
      <c r="M122" s="44">
        <f>L122*(1+$P$123)</f>
        <v>54.696642621869096</v>
      </c>
      <c r="N122" s="44">
        <f>M122*(1+$P$123)</f>
        <v>54.375570929767207</v>
      </c>
      <c r="O122" s="96"/>
      <c r="P122" s="67"/>
    </row>
    <row r="123" spans="1:17" x14ac:dyDescent="0.3">
      <c r="A123" s="43" t="s">
        <v>127</v>
      </c>
      <c r="B123" s="81" t="str">
        <f t="shared" ref="B123:N123" si="82">+IFERROR(B122/A122-1,"nm")</f>
        <v>nm</v>
      </c>
      <c r="C123" s="81">
        <f t="shared" si="82"/>
        <v>0.19230769230769229</v>
      </c>
      <c r="D123" s="81">
        <f t="shared" si="82"/>
        <v>-4.8387096774193505E-2</v>
      </c>
      <c r="E123" s="81">
        <f t="shared" si="82"/>
        <v>-0.16949152542372881</v>
      </c>
      <c r="F123" s="81">
        <f t="shared" si="82"/>
        <v>-4.081632653061229E-2</v>
      </c>
      <c r="G123" s="81">
        <f t="shared" si="82"/>
        <v>-0.12765957446808507</v>
      </c>
      <c r="H123" s="81">
        <f t="shared" si="82"/>
        <v>0.31707317073170738</v>
      </c>
      <c r="I123" s="81">
        <f t="shared" si="82"/>
        <v>3.7037037037036979E-2</v>
      </c>
      <c r="J123" s="82">
        <f t="shared" si="82"/>
        <v>-5.8700438767610441E-3</v>
      </c>
      <c r="K123" s="81">
        <f t="shared" si="82"/>
        <v>-5.8700438767610441E-3</v>
      </c>
      <c r="L123" s="81">
        <f t="shared" si="82"/>
        <v>-5.8700438767610441E-3</v>
      </c>
      <c r="M123" s="81">
        <f t="shared" si="82"/>
        <v>-5.8700438767610441E-3</v>
      </c>
      <c r="N123" s="81">
        <f t="shared" si="82"/>
        <v>-5.8700438767610441E-3</v>
      </c>
      <c r="O123" s="96">
        <f>AVERAGE(C123:I123)</f>
        <v>2.286619669711671E-2</v>
      </c>
      <c r="P123" s="67">
        <f>AVERAGE(C123:F123,I123)</f>
        <v>-5.8700438767610667E-3</v>
      </c>
    </row>
    <row r="124" spans="1:17" x14ac:dyDescent="0.3">
      <c r="A124" s="43" t="s">
        <v>131</v>
      </c>
      <c r="B124" s="81">
        <f t="shared" ref="B124:N124" si="83">+IFERROR(B122/B$18,"nm")</f>
        <v>3.7845705967976709E-3</v>
      </c>
      <c r="C124" s="81">
        <f t="shared" si="83"/>
        <v>4.1994039555675973E-3</v>
      </c>
      <c r="D124" s="81">
        <f t="shared" si="83"/>
        <v>3.8774973711882231E-3</v>
      </c>
      <c r="E124" s="81">
        <f t="shared" si="83"/>
        <v>3.2985526758667117E-3</v>
      </c>
      <c r="F124" s="81">
        <f t="shared" si="83"/>
        <v>2.9556030687963777E-3</v>
      </c>
      <c r="G124" s="81">
        <f t="shared" si="83"/>
        <v>2.8307097486882076E-3</v>
      </c>
      <c r="H124" s="81">
        <f t="shared" si="83"/>
        <v>3.1433727225100411E-3</v>
      </c>
      <c r="I124" s="81">
        <f t="shared" si="83"/>
        <v>3.0512722715632322E-3</v>
      </c>
      <c r="J124" s="82">
        <f t="shared" si="83"/>
        <v>2.9000224986689372E-3</v>
      </c>
      <c r="K124" s="81">
        <f t="shared" si="83"/>
        <v>2.755926179015968E-3</v>
      </c>
      <c r="L124" s="81">
        <f t="shared" si="83"/>
        <v>2.6186773486035157E-3</v>
      </c>
      <c r="M124" s="81">
        <f t="shared" si="83"/>
        <v>2.4879799361871404E-3</v>
      </c>
      <c r="N124" s="81">
        <f t="shared" si="83"/>
        <v>2.363547781593141E-3</v>
      </c>
      <c r="O124" s="96">
        <f>AVERAGE(C124:I124)</f>
        <v>3.3366302591686268E-3</v>
      </c>
      <c r="P124" s="67">
        <f>AVERAGE(C124:F124,I124)</f>
        <v>3.4764658685964281E-3</v>
      </c>
    </row>
    <row r="125" spans="1:17" x14ac:dyDescent="0.3">
      <c r="A125" s="92" t="s">
        <v>103</v>
      </c>
      <c r="B125" s="93"/>
      <c r="C125" s="93"/>
      <c r="D125" s="93"/>
      <c r="E125" s="93"/>
      <c r="F125" s="93"/>
      <c r="G125" s="93"/>
      <c r="H125" s="93"/>
      <c r="I125" s="93"/>
      <c r="J125" s="74"/>
      <c r="K125" s="75"/>
      <c r="L125" s="75"/>
      <c r="M125" s="75"/>
      <c r="N125" s="75"/>
      <c r="O125" s="94"/>
      <c r="P125" s="95"/>
    </row>
    <row r="126" spans="1:17" x14ac:dyDescent="0.3">
      <c r="A126" s="9" t="s">
        <v>134</v>
      </c>
      <c r="B126" s="101">
        <f>+[1]Historicals!B128</f>
        <v>1982</v>
      </c>
      <c r="C126" s="101">
        <f>+[1]Historicals!C128</f>
        <v>1955</v>
      </c>
      <c r="D126" s="101">
        <f>+[1]Historicals!D128</f>
        <v>2042</v>
      </c>
      <c r="E126" s="101">
        <f>+[1]Historicals!E128</f>
        <v>1886</v>
      </c>
      <c r="F126" s="101">
        <f>+[1]Historicals!F128</f>
        <v>1906</v>
      </c>
      <c r="G126" s="101">
        <f>+[1]Historicals!G128</f>
        <v>1846</v>
      </c>
      <c r="H126" s="101">
        <f>+[1]Historicals!H128</f>
        <v>2205</v>
      </c>
      <c r="I126" s="101">
        <f>+[1]Historicals!I128</f>
        <v>2346</v>
      </c>
      <c r="J126" s="78">
        <f>SUM(J128,J132,J136)</f>
        <v>2301.4772604028071</v>
      </c>
      <c r="K126" s="166">
        <f t="shared" ref="K126:N126" si="84">SUM(K128,K132,K136)</f>
        <v>2303.0763186253066</v>
      </c>
      <c r="L126" s="166">
        <f t="shared" si="84"/>
        <v>2304.7948899914668</v>
      </c>
      <c r="M126" s="166">
        <f t="shared" si="84"/>
        <v>2306.6307424759375</v>
      </c>
      <c r="N126" s="166">
        <f t="shared" si="84"/>
        <v>2308.5816955249147</v>
      </c>
      <c r="O126" s="96"/>
      <c r="P126" s="67"/>
      <c r="Q126" s="123" t="s">
        <v>247</v>
      </c>
    </row>
    <row r="127" spans="1:17" x14ac:dyDescent="0.3">
      <c r="A127" s="41" t="s">
        <v>127</v>
      </c>
      <c r="B127" s="81" t="str">
        <f t="shared" ref="B127:N127" si="85">+IFERROR(B126/A126-1,"nm")</f>
        <v>nm</v>
      </c>
      <c r="C127" s="81">
        <f t="shared" si="85"/>
        <v>-1.3622603430877955E-2</v>
      </c>
      <c r="D127" s="81">
        <f t="shared" si="85"/>
        <v>4.4501278772378416E-2</v>
      </c>
      <c r="E127" s="81">
        <f t="shared" si="85"/>
        <v>-7.6395690499510338E-2</v>
      </c>
      <c r="F127" s="81">
        <f t="shared" si="85"/>
        <v>1.0604453870625585E-2</v>
      </c>
      <c r="G127" s="81">
        <f t="shared" si="85"/>
        <v>-3.147953830010497E-2</v>
      </c>
      <c r="H127" s="81">
        <f t="shared" si="85"/>
        <v>0.19447453954496208</v>
      </c>
      <c r="I127" s="81">
        <f t="shared" si="85"/>
        <v>6.3945578231292544E-2</v>
      </c>
      <c r="J127" s="82">
        <f t="shared" si="85"/>
        <v>-1.8978149870926164E-2</v>
      </c>
      <c r="K127" s="81">
        <f t="shared" si="85"/>
        <v>6.9479644661774032E-4</v>
      </c>
      <c r="L127" s="81">
        <f t="shared" si="85"/>
        <v>7.4620686785831225E-4</v>
      </c>
      <c r="M127" s="81">
        <f t="shared" si="85"/>
        <v>7.9653616573116537E-4</v>
      </c>
      <c r="N127" s="81">
        <f t="shared" si="85"/>
        <v>8.4580206664686131E-4</v>
      </c>
      <c r="O127" s="96">
        <f>AVERAGE(C127:I127)</f>
        <v>2.7432574026966479E-2</v>
      </c>
      <c r="P127" s="67">
        <f>AVERAGE(C127:F127,I127)</f>
        <v>5.8066033887816506E-3</v>
      </c>
      <c r="Q127" s="123" t="s">
        <v>245</v>
      </c>
    </row>
    <row r="128" spans="1:17" x14ac:dyDescent="0.3">
      <c r="A128" s="42" t="s">
        <v>112</v>
      </c>
      <c r="B128" s="102">
        <f>+[1]Historicals!B129</f>
        <v>1737</v>
      </c>
      <c r="C128" s="102">
        <f>+[1]Historicals!C129</f>
        <v>1695</v>
      </c>
      <c r="D128" s="102">
        <f>+[1]Historicals!D129</f>
        <v>1780</v>
      </c>
      <c r="E128" s="102">
        <f>+[1]Historicals!E129</f>
        <v>1611</v>
      </c>
      <c r="F128" s="102">
        <f>+[1]Historicals!F129</f>
        <v>1658</v>
      </c>
      <c r="G128" s="102">
        <f>+[1]Historicals!G129</f>
        <v>1642</v>
      </c>
      <c r="H128" s="102">
        <f>+[1]Historicals!H129</f>
        <v>1986</v>
      </c>
      <c r="I128" s="102">
        <f>+[1]Historicals!I129</f>
        <v>2094</v>
      </c>
      <c r="J128" s="78">
        <f>I128*(1+$P$129)</f>
        <v>2100.1057450218718</v>
      </c>
      <c r="K128" s="44">
        <f>J128*(1+$P$129)</f>
        <v>2106.2292933495087</v>
      </c>
      <c r="L128" s="44">
        <f>K128*(1+$P$129)</f>
        <v>2112.3706968942984</v>
      </c>
      <c r="M128" s="44">
        <f>L128*(1+$P$129)</f>
        <v>2118.5300077189927</v>
      </c>
      <c r="N128" s="44">
        <f>M128*(1+$P$129)</f>
        <v>2124.7072780381504</v>
      </c>
      <c r="O128" s="96"/>
      <c r="P128" s="67"/>
      <c r="Q128" s="123" t="s">
        <v>244</v>
      </c>
    </row>
    <row r="129" spans="1:17" x14ac:dyDescent="0.3">
      <c r="A129" s="41" t="s">
        <v>127</v>
      </c>
      <c r="B129" s="81" t="str">
        <f t="shared" ref="B129:N129" si="86">+IFERROR(B128/A128-1,"nm")</f>
        <v>nm</v>
      </c>
      <c r="C129" s="81">
        <f t="shared" si="86"/>
        <v>-2.4179620034542326E-2</v>
      </c>
      <c r="D129" s="81">
        <f t="shared" si="86"/>
        <v>5.0147492625368661E-2</v>
      </c>
      <c r="E129" s="81">
        <f t="shared" si="86"/>
        <v>-9.4943820224719144E-2</v>
      </c>
      <c r="F129" s="81">
        <f t="shared" si="86"/>
        <v>2.9174425822470429E-2</v>
      </c>
      <c r="G129" s="81">
        <f t="shared" si="86"/>
        <v>-9.6501809408926498E-3</v>
      </c>
      <c r="H129" s="81">
        <f t="shared" si="86"/>
        <v>0.2095006090133984</v>
      </c>
      <c r="I129" s="81">
        <f t="shared" si="86"/>
        <v>5.4380664652567967E-2</v>
      </c>
      <c r="J129" s="82">
        <f t="shared" si="86"/>
        <v>2.9158285682291396E-3</v>
      </c>
      <c r="K129" s="81">
        <f t="shared" si="86"/>
        <v>2.9158285682291396E-3</v>
      </c>
      <c r="L129" s="81">
        <f t="shared" si="86"/>
        <v>2.9158285682291396E-3</v>
      </c>
      <c r="M129" s="81">
        <f t="shared" si="86"/>
        <v>2.9158285682291396E-3</v>
      </c>
      <c r="N129" s="81">
        <f t="shared" si="86"/>
        <v>2.9158285682291396E-3</v>
      </c>
      <c r="O129" s="96">
        <f>AVERAGE(C129:I129)</f>
        <v>3.0632795844807333E-2</v>
      </c>
      <c r="P129" s="67">
        <f>AVERAGE(C129:F129,I129)</f>
        <v>2.9158285682291175E-3</v>
      </c>
      <c r="Q129" s="123" t="s">
        <v>246</v>
      </c>
    </row>
    <row r="130" spans="1:17" x14ac:dyDescent="0.3">
      <c r="A130" s="41" t="s">
        <v>135</v>
      </c>
      <c r="B130" s="81">
        <f>+[1]Historicals!B201</f>
        <v>0.14000000000000001</v>
      </c>
      <c r="C130" s="81">
        <f>+[1]Historicals!C201</f>
        <v>0.04</v>
      </c>
      <c r="D130" s="81">
        <f>+[1]Historicals!D201</f>
        <v>0.04</v>
      </c>
      <c r="E130" s="81">
        <f>+[1]Historicals!E201</f>
        <v>0.05</v>
      </c>
      <c r="F130" s="81">
        <f>+[1]Historicals!F201</f>
        <v>0.03</v>
      </c>
      <c r="G130" s="81">
        <f>+[1]Historicals!G201</f>
        <v>0.01</v>
      </c>
      <c r="H130" s="81">
        <f>+[1]Historicals!H201</f>
        <v>0.17</v>
      </c>
      <c r="I130" s="81">
        <f>+[1]Historicals!I201</f>
        <v>0.06</v>
      </c>
      <c r="J130" s="82">
        <f>$P$130</f>
        <v>4.3999999999999997E-2</v>
      </c>
      <c r="K130" s="81">
        <f>$P$130</f>
        <v>4.3999999999999997E-2</v>
      </c>
      <c r="L130" s="81">
        <f>$P$130</f>
        <v>4.3999999999999997E-2</v>
      </c>
      <c r="M130" s="81">
        <f>$P$130</f>
        <v>4.3999999999999997E-2</v>
      </c>
      <c r="N130" s="81">
        <f>$P$130</f>
        <v>4.3999999999999997E-2</v>
      </c>
      <c r="O130" s="96">
        <f>AVERAGE(C130:I130)</f>
        <v>5.7142857142857148E-2</v>
      </c>
      <c r="P130" s="67">
        <f>AVERAGE(C130:F130,I130)</f>
        <v>4.3999999999999997E-2</v>
      </c>
    </row>
    <row r="131" spans="1:17" x14ac:dyDescent="0.3">
      <c r="A131" s="41" t="s">
        <v>136</v>
      </c>
      <c r="B131" s="81" t="str">
        <f t="shared" ref="B131:N131" si="87">+IFERROR(B129-B130,"nm")</f>
        <v>nm</v>
      </c>
      <c r="C131" s="81">
        <f t="shared" si="87"/>
        <v>-6.4179620034542334E-2</v>
      </c>
      <c r="D131" s="81">
        <f t="shared" si="87"/>
        <v>1.0147492625368661E-2</v>
      </c>
      <c r="E131" s="81">
        <f t="shared" si="87"/>
        <v>-0.14494382022471913</v>
      </c>
      <c r="F131" s="81">
        <f t="shared" si="87"/>
        <v>-8.2557417752956996E-4</v>
      </c>
      <c r="G131" s="81">
        <f t="shared" si="87"/>
        <v>-1.9650180940892652E-2</v>
      </c>
      <c r="H131" s="81">
        <f t="shared" si="87"/>
        <v>3.9500609013398386E-2</v>
      </c>
      <c r="I131" s="81">
        <f t="shared" si="87"/>
        <v>-5.6193353474320307E-3</v>
      </c>
      <c r="J131" s="82">
        <f t="shared" si="87"/>
        <v>-4.1084171431770858E-2</v>
      </c>
      <c r="K131" s="81">
        <f t="shared" si="87"/>
        <v>-4.1084171431770858E-2</v>
      </c>
      <c r="L131" s="81">
        <f t="shared" si="87"/>
        <v>-4.1084171431770858E-2</v>
      </c>
      <c r="M131" s="81">
        <f t="shared" si="87"/>
        <v>-4.1084171431770858E-2</v>
      </c>
      <c r="N131" s="81">
        <f t="shared" si="87"/>
        <v>-4.1084171431770858E-2</v>
      </c>
      <c r="O131" s="96">
        <f>AVERAGE(C131:I131)</f>
        <v>-2.6510061298049812E-2</v>
      </c>
      <c r="P131" s="67">
        <f>AVERAGE(C131:F131,I131)</f>
        <v>-4.1084171431770886E-2</v>
      </c>
    </row>
    <row r="132" spans="1:17" x14ac:dyDescent="0.3">
      <c r="A132" s="42" t="s">
        <v>113</v>
      </c>
      <c r="B132" s="102">
        <f>+Historicals!B132</f>
        <v>134</v>
      </c>
      <c r="C132" s="102">
        <f>+Historicals!C132</f>
        <v>137</v>
      </c>
      <c r="D132" s="102">
        <f>+Historicals!D132</f>
        <v>131</v>
      </c>
      <c r="E132" s="102">
        <f>+Historicals!E132</f>
        <v>144</v>
      </c>
      <c r="F132" s="102">
        <f>+Historicals!F132</f>
        <v>118</v>
      </c>
      <c r="G132" s="102">
        <f>+Historicals!G132</f>
        <v>89</v>
      </c>
      <c r="H132" s="102">
        <f>+Historicals!H132</f>
        <v>104</v>
      </c>
      <c r="I132" s="102">
        <f>+Historicals!I132</f>
        <v>103</v>
      </c>
      <c r="J132" s="78">
        <f>I132*(1+$P$133)</f>
        <v>100.68575769046778</v>
      </c>
      <c r="K132" s="44">
        <f>J132*(1+$P$133)</f>
        <v>98.423512637898952</v>
      </c>
      <c r="L132" s="44">
        <f>K132*(1+$P$133)</f>
        <v>96.212096548584341</v>
      </c>
      <c r="M132" s="44">
        <f>L132*(1+$P$133)</f>
        <v>94.050367378472373</v>
      </c>
      <c r="N132" s="44">
        <f>M132*(1+$P$133)</f>
        <v>91.937208743381987</v>
      </c>
      <c r="O132" s="96"/>
      <c r="P132" s="67"/>
    </row>
    <row r="133" spans="1:17" x14ac:dyDescent="0.3">
      <c r="A133" s="41" t="s">
        <v>127</v>
      </c>
      <c r="B133" s="81" t="str">
        <f t="shared" ref="B133:N133" si="88">+IFERROR(B132/A132-1,"nm")</f>
        <v>nm</v>
      </c>
      <c r="C133" s="81">
        <f t="shared" si="88"/>
        <v>2.2388059701492491E-2</v>
      </c>
      <c r="D133" s="81">
        <f t="shared" si="88"/>
        <v>-4.3795620437956151E-2</v>
      </c>
      <c r="E133" s="81">
        <f t="shared" si="88"/>
        <v>9.92366412213741E-2</v>
      </c>
      <c r="F133" s="81">
        <f t="shared" si="88"/>
        <v>-0.18055555555555558</v>
      </c>
      <c r="G133" s="81">
        <f t="shared" si="88"/>
        <v>-0.24576271186440679</v>
      </c>
      <c r="H133" s="81">
        <f t="shared" si="88"/>
        <v>0.1685393258426966</v>
      </c>
      <c r="I133" s="81">
        <f t="shared" si="88"/>
        <v>-9.6153846153845812E-3</v>
      </c>
      <c r="J133" s="82">
        <f t="shared" si="88"/>
        <v>-2.2468371937205966E-2</v>
      </c>
      <c r="K133" s="81">
        <f t="shared" si="88"/>
        <v>-2.2468371937205966E-2</v>
      </c>
      <c r="L133" s="81">
        <f t="shared" si="88"/>
        <v>-2.2468371937205966E-2</v>
      </c>
      <c r="M133" s="81">
        <f t="shared" si="88"/>
        <v>-2.2468371937205966E-2</v>
      </c>
      <c r="N133" s="81">
        <f t="shared" si="88"/>
        <v>-2.2468371937206078E-2</v>
      </c>
      <c r="O133" s="96">
        <f>AVERAGE(C133:I133)</f>
        <v>-2.7080749386819987E-2</v>
      </c>
      <c r="P133" s="67">
        <f>AVERAGE(C133:F133,I133)</f>
        <v>-2.2468371937205946E-2</v>
      </c>
    </row>
    <row r="134" spans="1:17" x14ac:dyDescent="0.3">
      <c r="A134" s="41" t="s">
        <v>135</v>
      </c>
      <c r="B134" s="81">
        <f>+[1]Historicals!B202</f>
        <v>0.02</v>
      </c>
      <c r="C134" s="81">
        <f>+[1]Historicals!C202</f>
        <v>-0.02</v>
      </c>
      <c r="D134" s="81">
        <f>+[1]Historicals!D202</f>
        <v>0.02</v>
      </c>
      <c r="E134" s="81">
        <f>+[1]Historicals!E202</f>
        <v>-0.17</v>
      </c>
      <c r="F134" s="81">
        <f>+[1]Historicals!F202</f>
        <v>-0.18</v>
      </c>
      <c r="G134" s="81">
        <f>+[1]Historicals!G202</f>
        <v>-0.22</v>
      </c>
      <c r="H134" s="81">
        <f>+[1]Historicals!H202</f>
        <v>0.13</v>
      </c>
      <c r="I134" s="81">
        <f>+[1]Historicals!I202</f>
        <v>-0.03</v>
      </c>
      <c r="J134" s="97">
        <f>$P$134</f>
        <v>-7.5999999999999998E-2</v>
      </c>
      <c r="K134" s="98">
        <f>$P$134</f>
        <v>-7.5999999999999998E-2</v>
      </c>
      <c r="L134" s="98">
        <f>$P$134</f>
        <v>-7.5999999999999998E-2</v>
      </c>
      <c r="M134" s="98">
        <f>$P$134</f>
        <v>-7.5999999999999998E-2</v>
      </c>
      <c r="N134" s="98">
        <f>$P$134</f>
        <v>-7.5999999999999998E-2</v>
      </c>
      <c r="O134" s="96">
        <f>AVERAGE(C134:I134)</f>
        <v>-6.7142857142857143E-2</v>
      </c>
      <c r="P134" s="67">
        <f>AVERAGE(C134:F134,I134)</f>
        <v>-7.5999999999999998E-2</v>
      </c>
    </row>
    <row r="135" spans="1:17" x14ac:dyDescent="0.3">
      <c r="A135" s="41" t="s">
        <v>136</v>
      </c>
      <c r="B135" s="81" t="str">
        <f t="shared" ref="B135:N135" si="89">+IFERROR(B133-B134,"nm")</f>
        <v>nm</v>
      </c>
      <c r="C135" s="81">
        <f t="shared" si="89"/>
        <v>4.2388059701492495E-2</v>
      </c>
      <c r="D135" s="81">
        <f t="shared" si="89"/>
        <v>-6.3795620437956155E-2</v>
      </c>
      <c r="E135" s="81">
        <f t="shared" si="89"/>
        <v>0.26923664122137414</v>
      </c>
      <c r="F135" s="81">
        <f t="shared" si="89"/>
        <v>-5.5555555555558689E-4</v>
      </c>
      <c r="G135" s="81">
        <f t="shared" si="89"/>
        <v>-2.576271186440679E-2</v>
      </c>
      <c r="H135" s="81">
        <f t="shared" si="89"/>
        <v>3.8539325842696592E-2</v>
      </c>
      <c r="I135" s="81">
        <f t="shared" si="89"/>
        <v>2.0384615384615418E-2</v>
      </c>
      <c r="J135" s="82">
        <f t="shared" si="89"/>
        <v>5.3531628062794032E-2</v>
      </c>
      <c r="K135" s="81">
        <f t="shared" si="89"/>
        <v>5.3531628062794032E-2</v>
      </c>
      <c r="L135" s="81">
        <f t="shared" si="89"/>
        <v>5.3531628062794032E-2</v>
      </c>
      <c r="M135" s="81">
        <f t="shared" si="89"/>
        <v>5.3531628062794032E-2</v>
      </c>
      <c r="N135" s="81">
        <f t="shared" si="89"/>
        <v>5.3531628062793921E-2</v>
      </c>
      <c r="O135" s="96">
        <f>AVERAGE(C135:I135)</f>
        <v>4.006210775603717E-2</v>
      </c>
      <c r="P135" s="67">
        <f>AVERAGE(C135:F135,I135)</f>
        <v>5.3531628062794059E-2</v>
      </c>
    </row>
    <row r="136" spans="1:17" x14ac:dyDescent="0.3">
      <c r="A136" s="42" t="s">
        <v>114</v>
      </c>
      <c r="B136" s="103">
        <f>+[1]Historicals!B130</f>
        <v>134</v>
      </c>
      <c r="C136" s="103">
        <f>+[1]Historicals!C130</f>
        <v>137</v>
      </c>
      <c r="D136" s="103">
        <f>+[1]Historicals!D130</f>
        <v>131</v>
      </c>
      <c r="E136" s="103">
        <f>+[1]Historicals!E130</f>
        <v>144</v>
      </c>
      <c r="F136" s="103">
        <f>+[1]Historicals!F130</f>
        <v>118</v>
      </c>
      <c r="G136" s="103">
        <f>+[1]Historicals!G130</f>
        <v>89</v>
      </c>
      <c r="H136" s="103">
        <f>+[1]Historicals!H130</f>
        <v>104</v>
      </c>
      <c r="I136" s="103">
        <f>+[1]Historicals!I130</f>
        <v>103</v>
      </c>
      <c r="J136" s="78">
        <f>I136*(1+$P$137)</f>
        <v>100.68575769046778</v>
      </c>
      <c r="K136" s="44">
        <f>J136*(1+$P$137)</f>
        <v>98.423512637898952</v>
      </c>
      <c r="L136" s="44">
        <f>K136*(1+$P$137)</f>
        <v>96.212096548584341</v>
      </c>
      <c r="M136" s="44">
        <f>L136*(1+$P$137)</f>
        <v>94.050367378472373</v>
      </c>
      <c r="N136" s="44">
        <f>M136*(1+$P$137)</f>
        <v>91.937208743381987</v>
      </c>
      <c r="O136" s="96"/>
      <c r="P136" s="67"/>
    </row>
    <row r="137" spans="1:17" x14ac:dyDescent="0.3">
      <c r="A137" s="41" t="s">
        <v>127</v>
      </c>
      <c r="B137" s="81" t="str">
        <f t="shared" ref="B137:N137" si="90">+IFERROR(B136/A136-1,"nm")</f>
        <v>nm</v>
      </c>
      <c r="C137" s="81">
        <f t="shared" si="90"/>
        <v>2.2388059701492491E-2</v>
      </c>
      <c r="D137" s="81">
        <f t="shared" si="90"/>
        <v>-4.3795620437956151E-2</v>
      </c>
      <c r="E137" s="81">
        <f t="shared" si="90"/>
        <v>9.92366412213741E-2</v>
      </c>
      <c r="F137" s="81">
        <f t="shared" si="90"/>
        <v>-0.18055555555555558</v>
      </c>
      <c r="G137" s="81">
        <f t="shared" si="90"/>
        <v>-0.24576271186440679</v>
      </c>
      <c r="H137" s="81">
        <f t="shared" si="90"/>
        <v>0.1685393258426966</v>
      </c>
      <c r="I137" s="81">
        <f t="shared" si="90"/>
        <v>-9.6153846153845812E-3</v>
      </c>
      <c r="J137" s="82">
        <f t="shared" si="90"/>
        <v>-2.2468371937205966E-2</v>
      </c>
      <c r="K137" s="81">
        <f t="shared" si="90"/>
        <v>-2.2468371937205966E-2</v>
      </c>
      <c r="L137" s="81">
        <f t="shared" si="90"/>
        <v>-2.2468371937205966E-2</v>
      </c>
      <c r="M137" s="81">
        <f t="shared" si="90"/>
        <v>-2.2468371937205966E-2</v>
      </c>
      <c r="N137" s="81">
        <f t="shared" si="90"/>
        <v>-2.2468371937206078E-2</v>
      </c>
      <c r="O137" s="96">
        <f>AVERAGE(C137:I137)</f>
        <v>-2.7080749386819987E-2</v>
      </c>
      <c r="P137" s="67">
        <f>AVERAGE(C137:F137,I137)</f>
        <v>-2.2468371937205946E-2</v>
      </c>
    </row>
    <row r="138" spans="1:17" x14ac:dyDescent="0.3">
      <c r="A138" s="41" t="s">
        <v>135</v>
      </c>
      <c r="B138" s="81">
        <f>+[1]Historicals!B203</f>
        <v>0.08</v>
      </c>
      <c r="C138" s="81">
        <f>+[1]Historicals!C203</f>
        <v>0.06</v>
      </c>
      <c r="D138" s="81">
        <f>+[1]Historicals!D203</f>
        <v>0.02</v>
      </c>
      <c r="E138" s="81">
        <f>+[1]Historicals!E203</f>
        <v>-0.13</v>
      </c>
      <c r="F138" s="81">
        <f>+[1]Historicals!F203</f>
        <v>-0.14000000000000001</v>
      </c>
      <c r="G138" s="81">
        <f>+[1]Historicals!G203</f>
        <v>0.08</v>
      </c>
      <c r="H138" s="81">
        <f>+[1]Historicals!H203</f>
        <v>0.14000000000000001</v>
      </c>
      <c r="I138" s="81">
        <f>+[1]Historicals!I203</f>
        <v>-0.16</v>
      </c>
      <c r="J138" s="97">
        <f>$P$138</f>
        <v>-6.9999999999999993E-2</v>
      </c>
      <c r="K138" s="98">
        <f>$P$138</f>
        <v>-6.9999999999999993E-2</v>
      </c>
      <c r="L138" s="98">
        <f>$P$138</f>
        <v>-6.9999999999999993E-2</v>
      </c>
      <c r="M138" s="98">
        <f>$P$138</f>
        <v>-6.9999999999999993E-2</v>
      </c>
      <c r="N138" s="98">
        <f>$P$138</f>
        <v>-6.9999999999999993E-2</v>
      </c>
      <c r="O138" s="96">
        <f>AVERAGE(C138:I138)</f>
        <v>-1.8571428571428572E-2</v>
      </c>
      <c r="P138" s="67">
        <f>AVERAGE(C138:F138,I138)</f>
        <v>-6.9999999999999993E-2</v>
      </c>
    </row>
    <row r="139" spans="1:17" x14ac:dyDescent="0.3">
      <c r="A139" s="41" t="s">
        <v>136</v>
      </c>
      <c r="B139" s="81" t="str">
        <f t="shared" ref="B139:N139" si="91">+IFERROR(B137-B138,"nm")</f>
        <v>nm</v>
      </c>
      <c r="C139" s="81">
        <f t="shared" si="91"/>
        <v>-3.7611940298507507E-2</v>
      </c>
      <c r="D139" s="81">
        <f t="shared" si="91"/>
        <v>-6.3795620437956155E-2</v>
      </c>
      <c r="E139" s="81">
        <f t="shared" si="91"/>
        <v>0.2292366412213741</v>
      </c>
      <c r="F139" s="81">
        <f t="shared" si="91"/>
        <v>-4.0555555555555567E-2</v>
      </c>
      <c r="G139" s="81">
        <f t="shared" si="91"/>
        <v>-0.32576271186440681</v>
      </c>
      <c r="H139" s="81">
        <f t="shared" si="91"/>
        <v>2.8539325842696583E-2</v>
      </c>
      <c r="I139" s="81">
        <f t="shared" si="91"/>
        <v>0.15038461538461542</v>
      </c>
      <c r="J139" s="82">
        <f t="shared" si="91"/>
        <v>4.7531628062794026E-2</v>
      </c>
      <c r="K139" s="81">
        <f t="shared" si="91"/>
        <v>4.7531628062794026E-2</v>
      </c>
      <c r="L139" s="81">
        <f t="shared" si="91"/>
        <v>4.7531628062794026E-2</v>
      </c>
      <c r="M139" s="81">
        <f t="shared" si="91"/>
        <v>4.7531628062794026E-2</v>
      </c>
      <c r="N139" s="81">
        <f t="shared" si="91"/>
        <v>4.7531628062793915E-2</v>
      </c>
      <c r="O139" s="96">
        <f>AVERAGE(C139:I139)</f>
        <v>-8.5093208153914201E-3</v>
      </c>
      <c r="P139" s="67">
        <f>AVERAGE(C139:F139,I139)</f>
        <v>4.7531628062794054E-2</v>
      </c>
    </row>
    <row r="140" spans="1:17" x14ac:dyDescent="0.3">
      <c r="A140" s="9" t="s">
        <v>128</v>
      </c>
      <c r="B140" s="101">
        <f>+[1]Historicals!B143+[1]Historicals!B176</f>
        <v>535</v>
      </c>
      <c r="C140" s="101">
        <f>+[1]Historicals!C143+[1]Historicals!C176</f>
        <v>514</v>
      </c>
      <c r="D140" s="101">
        <f>+[1]Historicals!D143+[1]Historicals!D176</f>
        <v>505</v>
      </c>
      <c r="E140" s="101">
        <f>+[1]Historicals!E143+[1]Historicals!E176</f>
        <v>343</v>
      </c>
      <c r="F140" s="101">
        <f>+[1]Historicals!F143+[1]Historicals!F176</f>
        <v>334</v>
      </c>
      <c r="G140" s="101">
        <f>+[1]Historicals!G143+[1]Historicals!G176</f>
        <v>322</v>
      </c>
      <c r="H140" s="101">
        <f>+[1]Historicals!H143+[1]Historicals!H176</f>
        <v>569</v>
      </c>
      <c r="I140" s="101">
        <f>+[1]Historicals!I143+[1]Historicals!I176</f>
        <v>691</v>
      </c>
      <c r="J140" s="78">
        <f>I140*(1+$P$141)</f>
        <v>664.82741277763421</v>
      </c>
      <c r="K140" s="44">
        <f>J140*(1+$P$141)</f>
        <v>639.64614874182757</v>
      </c>
      <c r="L140" s="44">
        <f>K140*(1+$P$141)</f>
        <v>615.4186601464645</v>
      </c>
      <c r="M140" s="44">
        <f>L140*(1+$P$141)</f>
        <v>592.10882141859929</v>
      </c>
      <c r="N140" s="44">
        <f>M140*(1+$P$141)</f>
        <v>569.68187529166653</v>
      </c>
      <c r="O140" s="96"/>
      <c r="P140" s="67"/>
    </row>
    <row r="141" spans="1:17" x14ac:dyDescent="0.3">
      <c r="A141" s="43" t="s">
        <v>127</v>
      </c>
      <c r="B141" s="81" t="str">
        <f t="shared" ref="B141:N141" si="92">+IFERROR(B140/A140-1,"nm")</f>
        <v>nm</v>
      </c>
      <c r="C141" s="81">
        <f t="shared" si="92"/>
        <v>-3.9252336448598157E-2</v>
      </c>
      <c r="D141" s="81">
        <f t="shared" si="92"/>
        <v>-1.7509727626459193E-2</v>
      </c>
      <c r="E141" s="81">
        <f t="shared" si="92"/>
        <v>-0.32079207920792074</v>
      </c>
      <c r="F141" s="81">
        <f t="shared" si="92"/>
        <v>-2.6239067055393583E-2</v>
      </c>
      <c r="G141" s="81">
        <f t="shared" si="92"/>
        <v>-3.59281437125748E-2</v>
      </c>
      <c r="H141" s="81">
        <f t="shared" si="92"/>
        <v>0.76708074534161486</v>
      </c>
      <c r="I141" s="81">
        <f t="shared" si="92"/>
        <v>0.21441124780316345</v>
      </c>
      <c r="J141" s="82">
        <f t="shared" si="92"/>
        <v>-3.7876392507041667E-2</v>
      </c>
      <c r="K141" s="81">
        <f t="shared" si="92"/>
        <v>-3.7876392507041556E-2</v>
      </c>
      <c r="L141" s="81">
        <f t="shared" si="92"/>
        <v>-3.7876392507041778E-2</v>
      </c>
      <c r="M141" s="81">
        <f t="shared" si="92"/>
        <v>-3.7876392507041778E-2</v>
      </c>
      <c r="N141" s="81">
        <f t="shared" si="92"/>
        <v>-3.7876392507041778E-2</v>
      </c>
      <c r="O141" s="96">
        <f>AVERAGE(C141:I141)</f>
        <v>7.7395805584833124E-2</v>
      </c>
      <c r="P141" s="67">
        <f>AVERAGE(C141:F141,I141)</f>
        <v>-3.7876392507041647E-2</v>
      </c>
    </row>
    <row r="142" spans="1:17" x14ac:dyDescent="0.3">
      <c r="A142" s="43" t="s">
        <v>129</v>
      </c>
      <c r="B142" s="81">
        <f t="shared" ref="B142:N142" si="93">+IFERROR(B140/B$18,"nm")</f>
        <v>3.8937409024745268E-2</v>
      </c>
      <c r="C142" s="81">
        <f t="shared" si="93"/>
        <v>3.4814413438092655E-2</v>
      </c>
      <c r="D142" s="81">
        <f t="shared" si="93"/>
        <v>3.3188748685594113E-2</v>
      </c>
      <c r="E142" s="81">
        <f t="shared" si="93"/>
        <v>2.3089868731066981E-2</v>
      </c>
      <c r="F142" s="81">
        <f t="shared" si="93"/>
        <v>2.100364733995724E-2</v>
      </c>
      <c r="G142" s="81">
        <f t="shared" si="93"/>
        <v>2.2231427782380558E-2</v>
      </c>
      <c r="H142" s="81">
        <f t="shared" si="93"/>
        <v>3.3121834798300248E-2</v>
      </c>
      <c r="I142" s="81">
        <f t="shared" si="93"/>
        <v>3.7650520350896312E-2</v>
      </c>
      <c r="J142" s="82">
        <f t="shared" si="93"/>
        <v>3.4632121623241606E-2</v>
      </c>
      <c r="K142" s="81">
        <f t="shared" si="93"/>
        <v>3.1851729691701788E-2</v>
      </c>
      <c r="L142" s="81">
        <f t="shared" si="93"/>
        <v>2.9291063693699985E-2</v>
      </c>
      <c r="M142" s="81">
        <f t="shared" si="93"/>
        <v>2.6933186336740259E-2</v>
      </c>
      <c r="N142" s="81">
        <f t="shared" si="93"/>
        <v>2.4762412780889642E-2</v>
      </c>
      <c r="O142" s="96">
        <f>AVERAGE(C142:I142)</f>
        <v>2.9300065875184016E-2</v>
      </c>
      <c r="P142" s="67">
        <f>AVERAGE(C142:F142,I142)</f>
        <v>2.9949439709121461E-2</v>
      </c>
    </row>
    <row r="143" spans="1:17" x14ac:dyDescent="0.3">
      <c r="A143" s="9" t="s">
        <v>130</v>
      </c>
      <c r="B143" s="101">
        <f>+[1]Historicals!B176</f>
        <v>18</v>
      </c>
      <c r="C143" s="101">
        <f>+[1]Historicals!C176</f>
        <v>27</v>
      </c>
      <c r="D143" s="101">
        <f>+[1]Historicals!D176</f>
        <v>28</v>
      </c>
      <c r="E143" s="101">
        <f>+[1]Historicals!E176</f>
        <v>33</v>
      </c>
      <c r="F143" s="101">
        <f>+[1]Historicals!F176</f>
        <v>31</v>
      </c>
      <c r="G143" s="101">
        <f>+[1]Historicals!G176</f>
        <v>25</v>
      </c>
      <c r="H143" s="101">
        <f>+[1]Historicals!H176</f>
        <v>26</v>
      </c>
      <c r="I143" s="101">
        <f>+[1]Historicals!I176</f>
        <v>22</v>
      </c>
      <c r="J143" s="78">
        <f>I143*(1+$P$144)</f>
        <v>24.205087505087509</v>
      </c>
      <c r="K143" s="44">
        <f>J143*(1+$P$144)</f>
        <v>26.631193687679247</v>
      </c>
      <c r="L143" s="44">
        <f>K143*(1+$P$144)</f>
        <v>29.30047152614592</v>
      </c>
      <c r="M143" s="44">
        <f>L143*(1+$P$144)</f>
        <v>32.237294419576678</v>
      </c>
      <c r="N143" s="44">
        <f>M143*(1+$P$144)</f>
        <v>35.468478743323757</v>
      </c>
      <c r="O143" s="96"/>
      <c r="P143" s="67"/>
    </row>
    <row r="144" spans="1:17" x14ac:dyDescent="0.3">
      <c r="A144" s="43" t="s">
        <v>127</v>
      </c>
      <c r="B144" s="81" t="str">
        <f t="shared" ref="B144:N144" si="94">+IFERROR(B143/A143-1,"nm")</f>
        <v>nm</v>
      </c>
      <c r="C144" s="81">
        <f t="shared" si="94"/>
        <v>0.5</v>
      </c>
      <c r="D144" s="81">
        <f t="shared" si="94"/>
        <v>3.7037037037036979E-2</v>
      </c>
      <c r="E144" s="81">
        <f t="shared" si="94"/>
        <v>0.1785714285714286</v>
      </c>
      <c r="F144" s="81">
        <f t="shared" si="94"/>
        <v>-6.0606060606060552E-2</v>
      </c>
      <c r="G144" s="81">
        <f t="shared" si="94"/>
        <v>-0.19354838709677424</v>
      </c>
      <c r="H144" s="81">
        <f t="shared" si="94"/>
        <v>4.0000000000000036E-2</v>
      </c>
      <c r="I144" s="81">
        <f t="shared" si="94"/>
        <v>-0.15384615384615385</v>
      </c>
      <c r="J144" s="82">
        <f t="shared" si="94"/>
        <v>0.10023125023125035</v>
      </c>
      <c r="K144" s="81">
        <f t="shared" si="94"/>
        <v>0.10023125023125035</v>
      </c>
      <c r="L144" s="81">
        <f t="shared" si="94"/>
        <v>0.10023125023125035</v>
      </c>
      <c r="M144" s="81">
        <f t="shared" si="94"/>
        <v>0.10023125023125035</v>
      </c>
      <c r="N144" s="81">
        <f t="shared" si="94"/>
        <v>0.10023125023125035</v>
      </c>
      <c r="O144" s="96">
        <f>AVERAGE(C144:I144)</f>
        <v>4.9658266294210995E-2</v>
      </c>
      <c r="P144" s="67">
        <f>AVERAGE(C144:F144,I144)</f>
        <v>0.10023125023125024</v>
      </c>
    </row>
    <row r="145" spans="1:24" x14ac:dyDescent="0.3">
      <c r="A145" s="43" t="s">
        <v>131</v>
      </c>
      <c r="B145" s="81">
        <f t="shared" ref="B145:N145" si="95">+IFERROR(B143/B$18,"nm")</f>
        <v>1.3100436681222707E-3</v>
      </c>
      <c r="C145" s="81">
        <f t="shared" si="95"/>
        <v>1.8287726903278244E-3</v>
      </c>
      <c r="D145" s="81">
        <f t="shared" si="95"/>
        <v>1.840168243953733E-3</v>
      </c>
      <c r="E145" s="81">
        <f t="shared" si="95"/>
        <v>2.2214742510939076E-3</v>
      </c>
      <c r="F145" s="81">
        <f t="shared" si="95"/>
        <v>1.949440321972079E-3</v>
      </c>
      <c r="G145" s="81">
        <f t="shared" si="95"/>
        <v>1.7260425296879314E-3</v>
      </c>
      <c r="H145" s="81">
        <f t="shared" si="95"/>
        <v>1.5134757552826125E-3</v>
      </c>
      <c r="I145" s="81">
        <f t="shared" si="95"/>
        <v>1.1987141066855556E-3</v>
      </c>
      <c r="J145" s="82">
        <f t="shared" si="95"/>
        <v>1.2608889439066719E-3</v>
      </c>
      <c r="K145" s="81">
        <f t="shared" si="95"/>
        <v>1.3261231766591667E-3</v>
      </c>
      <c r="L145" s="81">
        <f t="shared" si="95"/>
        <v>1.3945660625947361E-3</v>
      </c>
      <c r="M145" s="81">
        <f t="shared" si="95"/>
        <v>1.46637412953014E-3</v>
      </c>
      <c r="N145" s="81">
        <f t="shared" si="95"/>
        <v>1.5417115225979888E-3</v>
      </c>
      <c r="O145" s="96">
        <f>AVERAGE(C145:I145)</f>
        <v>1.7540125570005207E-3</v>
      </c>
      <c r="P145" s="67">
        <f>AVERAGE(C145:F145,I145)</f>
        <v>1.80771392280662E-3</v>
      </c>
    </row>
    <row r="146" spans="1:24" x14ac:dyDescent="0.3">
      <c r="A146" s="9" t="s">
        <v>132</v>
      </c>
      <c r="B146" s="101">
        <f>+[1]Historicals!B143</f>
        <v>517</v>
      </c>
      <c r="C146" s="101">
        <f>+[1]Historicals!C143</f>
        <v>487</v>
      </c>
      <c r="D146" s="101">
        <f>+[1]Historicals!D143</f>
        <v>477</v>
      </c>
      <c r="E146" s="101">
        <f>+[1]Historicals!E143</f>
        <v>310</v>
      </c>
      <c r="F146" s="101">
        <f>+[1]Historicals!F143</f>
        <v>303</v>
      </c>
      <c r="G146" s="101">
        <f>+[1]Historicals!G143</f>
        <v>297</v>
      </c>
      <c r="H146" s="101">
        <f>+[1]Historicals!H143</f>
        <v>543</v>
      </c>
      <c r="I146" s="101">
        <f>+[1]Historicals!I143</f>
        <v>669</v>
      </c>
      <c r="J146" s="78">
        <f>I146*(1+$P$147)</f>
        <v>639.67074185662261</v>
      </c>
      <c r="K146" s="44">
        <f>J146*(1+$P$147)</f>
        <v>611.62729146098934</v>
      </c>
      <c r="L146" s="44">
        <f>K146*(1+$P$147)</f>
        <v>584.81327842841222</v>
      </c>
      <c r="M146" s="44">
        <f>L146*(1+$P$147)</f>
        <v>559.17480367698954</v>
      </c>
      <c r="N146" s="44">
        <f>M146*(1+$P$147)</f>
        <v>534.66033108459067</v>
      </c>
      <c r="O146" s="96"/>
      <c r="P146" s="67"/>
    </row>
    <row r="147" spans="1:24" x14ac:dyDescent="0.3">
      <c r="A147" s="43" t="s">
        <v>127</v>
      </c>
      <c r="B147" s="81" t="str">
        <f t="shared" ref="B147:N147" si="96">+IFERROR(B146/A146-1,"nm")</f>
        <v>nm</v>
      </c>
      <c r="C147" s="81">
        <f t="shared" si="96"/>
        <v>-5.8027079303675011E-2</v>
      </c>
      <c r="D147" s="81">
        <f t="shared" si="96"/>
        <v>-2.0533880903490731E-2</v>
      </c>
      <c r="E147" s="81">
        <f t="shared" si="96"/>
        <v>-0.35010482180293501</v>
      </c>
      <c r="F147" s="81">
        <f t="shared" si="96"/>
        <v>-2.2580645161290325E-2</v>
      </c>
      <c r="G147" s="81">
        <f t="shared" si="96"/>
        <v>-1.980198019801982E-2</v>
      </c>
      <c r="H147" s="81">
        <f t="shared" si="96"/>
        <v>0.82828282828282829</v>
      </c>
      <c r="I147" s="81">
        <f t="shared" si="96"/>
        <v>0.2320441988950277</v>
      </c>
      <c r="J147" s="82">
        <f t="shared" si="96"/>
        <v>-4.3840445655272675E-2</v>
      </c>
      <c r="K147" s="81">
        <f t="shared" si="96"/>
        <v>-4.3840445655272786E-2</v>
      </c>
      <c r="L147" s="81">
        <f t="shared" si="96"/>
        <v>-4.3840445655272675E-2</v>
      </c>
      <c r="M147" s="81">
        <f t="shared" si="96"/>
        <v>-4.3840445655272675E-2</v>
      </c>
      <c r="N147" s="81">
        <f t="shared" si="96"/>
        <v>-4.3840445655272786E-2</v>
      </c>
      <c r="O147" s="96">
        <f>AVERAGE(C147:I147)</f>
        <v>8.4182659972635007E-2</v>
      </c>
      <c r="P147" s="67">
        <f>AVERAGE(C147:F147,I147)</f>
        <v>-4.3840445655272675E-2</v>
      </c>
    </row>
    <row r="148" spans="1:24" x14ac:dyDescent="0.3">
      <c r="A148" s="43" t="s">
        <v>129</v>
      </c>
      <c r="B148" s="81">
        <f t="shared" ref="B148:N148" si="97">+IFERROR(B146/B$18,"nm")</f>
        <v>3.7627365356622998E-2</v>
      </c>
      <c r="C148" s="81">
        <f t="shared" si="97"/>
        <v>3.2985640747764833E-2</v>
      </c>
      <c r="D148" s="81">
        <f t="shared" si="97"/>
        <v>3.1348580441640378E-2</v>
      </c>
      <c r="E148" s="81">
        <f t="shared" si="97"/>
        <v>2.0868394479973074E-2</v>
      </c>
      <c r="F148" s="81">
        <f t="shared" si="97"/>
        <v>1.9054207017985159E-2</v>
      </c>
      <c r="G148" s="81">
        <f t="shared" si="97"/>
        <v>2.0505385252692625E-2</v>
      </c>
      <c r="H148" s="81">
        <f t="shared" si="97"/>
        <v>3.1608359043017641E-2</v>
      </c>
      <c r="I148" s="81">
        <f t="shared" si="97"/>
        <v>3.6451806244210759E-2</v>
      </c>
      <c r="J148" s="82">
        <f t="shared" si="97"/>
        <v>3.3321662893309935E-2</v>
      </c>
      <c r="K148" s="81">
        <f t="shared" si="97"/>
        <v>3.0456506613856231E-2</v>
      </c>
      <c r="L148" s="81">
        <f t="shared" si="97"/>
        <v>2.7834389979808829E-2</v>
      </c>
      <c r="M148" s="81">
        <f t="shared" si="97"/>
        <v>2.5435120433031665E-2</v>
      </c>
      <c r="N148" s="81">
        <f t="shared" si="97"/>
        <v>2.3240128201560545E-2</v>
      </c>
      <c r="O148" s="96">
        <f>AVERAGE(C148:I148)</f>
        <v>2.7546053318183498E-2</v>
      </c>
      <c r="P148" s="67">
        <f>AVERAGE(C148:F148,I148)</f>
        <v>2.8141725786314842E-2</v>
      </c>
    </row>
    <row r="149" spans="1:24" x14ac:dyDescent="0.3">
      <c r="A149" s="9" t="s">
        <v>133</v>
      </c>
      <c r="B149" s="104">
        <f>+[2]Historicals!B165</f>
        <v>69</v>
      </c>
      <c r="C149" s="104">
        <f>+[2]Historicals!C165</f>
        <v>39</v>
      </c>
      <c r="D149" s="104">
        <f>+[2]Historicals!D165</f>
        <v>30</v>
      </c>
      <c r="E149" s="104">
        <f>+[2]Historicals!E165</f>
        <v>22</v>
      </c>
      <c r="F149" s="104">
        <f>+[2]Historicals!F165</f>
        <v>18</v>
      </c>
      <c r="G149" s="104">
        <f>+[2]Historicals!G165</f>
        <v>12</v>
      </c>
      <c r="H149" s="104">
        <f>+[2]Historicals!H165</f>
        <v>7</v>
      </c>
      <c r="I149" s="104">
        <f>+[2]Historicals!I165</f>
        <v>9</v>
      </c>
      <c r="J149" s="78">
        <f>I149*(1+$P$150)</f>
        <v>7.509019675976198</v>
      </c>
      <c r="K149" s="44">
        <f>J149*(1+$P$150)</f>
        <v>6.2650418326886319</v>
      </c>
      <c r="L149" s="44">
        <f>K149*(1+$P$150)</f>
        <v>5.2271469324969901</v>
      </c>
      <c r="M149" s="44">
        <f>L149*(1+$P$150)</f>
        <v>4.3611943517042802</v>
      </c>
      <c r="N149" s="44">
        <f>M149*(1+$P$150)</f>
        <v>3.6386993553004108</v>
      </c>
      <c r="O149" s="96"/>
      <c r="P149" s="67"/>
    </row>
    <row r="150" spans="1:24" ht="14.4" customHeight="1" x14ac:dyDescent="0.3">
      <c r="A150" s="43" t="s">
        <v>127</v>
      </c>
      <c r="B150" s="81" t="str">
        <f t="shared" ref="B150:N150" si="98">+IFERROR(B149/A149-1,"nm")</f>
        <v>nm</v>
      </c>
      <c r="C150" s="81">
        <f t="shared" si="98"/>
        <v>-0.43478260869565222</v>
      </c>
      <c r="D150" s="81">
        <f t="shared" si="98"/>
        <v>-0.23076923076923073</v>
      </c>
      <c r="E150" s="81">
        <f t="shared" si="98"/>
        <v>-0.26666666666666672</v>
      </c>
      <c r="F150" s="81">
        <f t="shared" si="98"/>
        <v>-0.18181818181818177</v>
      </c>
      <c r="G150" s="81">
        <f t="shared" si="98"/>
        <v>-0.33333333333333337</v>
      </c>
      <c r="H150" s="81">
        <f t="shared" si="98"/>
        <v>-0.41666666666666663</v>
      </c>
      <c r="I150" s="81">
        <f t="shared" si="98"/>
        <v>0.28571428571428581</v>
      </c>
      <c r="J150" s="82">
        <f t="shared" si="98"/>
        <v>-0.16566448044708915</v>
      </c>
      <c r="K150" s="81">
        <f t="shared" si="98"/>
        <v>-0.16566448044708904</v>
      </c>
      <c r="L150" s="81">
        <f t="shared" si="98"/>
        <v>-0.16566448044708926</v>
      </c>
      <c r="M150" s="81">
        <f t="shared" si="98"/>
        <v>-0.16566448044708926</v>
      </c>
      <c r="N150" s="81">
        <f t="shared" si="98"/>
        <v>-0.16566448044708915</v>
      </c>
      <c r="O150" s="96">
        <f>AVERAGE(C150:I150)</f>
        <v>-0.22547462889077793</v>
      </c>
      <c r="P150" s="67">
        <f>AVERAGE(C150:F150,I150)</f>
        <v>-0.16566448044708912</v>
      </c>
      <c r="Q150" s="105" t="s">
        <v>200</v>
      </c>
      <c r="R150" s="148"/>
    </row>
    <row r="151" spans="1:24" x14ac:dyDescent="0.3">
      <c r="A151" s="43" t="s">
        <v>131</v>
      </c>
      <c r="B151" s="81">
        <f t="shared" ref="B151:N151" si="99">+IFERROR(B149/B$18,"nm")</f>
        <v>5.0218340611353713E-3</v>
      </c>
      <c r="C151" s="81">
        <f t="shared" si="99"/>
        <v>2.6415605526957462E-3</v>
      </c>
      <c r="D151" s="81">
        <f t="shared" si="99"/>
        <v>1.9716088328075709E-3</v>
      </c>
      <c r="E151" s="81">
        <f t="shared" si="99"/>
        <v>1.4809828340626053E-3</v>
      </c>
      <c r="F151" s="81">
        <f t="shared" si="99"/>
        <v>1.1319330901773362E-3</v>
      </c>
      <c r="G151" s="81">
        <f t="shared" si="99"/>
        <v>8.2850041425020708E-4</v>
      </c>
      <c r="H151" s="81">
        <f t="shared" si="99"/>
        <v>4.0747424180685721E-4</v>
      </c>
      <c r="I151" s="81">
        <f t="shared" si="99"/>
        <v>4.9038304364409089E-4</v>
      </c>
      <c r="J151" s="82">
        <f t="shared" si="99"/>
        <v>3.9115908533799039E-4</v>
      </c>
      <c r="K151" s="81">
        <f t="shared" si="99"/>
        <v>3.1197314226704607E-4</v>
      </c>
      <c r="L151" s="81">
        <f t="shared" si="99"/>
        <v>2.4878786369535698E-4</v>
      </c>
      <c r="M151" s="81">
        <f t="shared" si="99"/>
        <v>1.9837714939590468E-4</v>
      </c>
      <c r="N151" s="81">
        <f t="shared" si="99"/>
        <v>1.5816366875876954E-4</v>
      </c>
      <c r="O151" s="96">
        <f>AVERAGE(C151:I151)</f>
        <v>1.2789204299206304E-3</v>
      </c>
      <c r="P151" s="67">
        <f>AVERAGE(C151:F151,I151)</f>
        <v>1.5432936706774698E-3</v>
      </c>
      <c r="Q151" s="105"/>
      <c r="R151" s="148"/>
    </row>
    <row r="152" spans="1:24" x14ac:dyDescent="0.3">
      <c r="A152" s="92" t="s">
        <v>106</v>
      </c>
      <c r="B152" s="93"/>
      <c r="C152" s="93"/>
      <c r="D152" s="93"/>
      <c r="E152" s="93"/>
      <c r="F152" s="93"/>
      <c r="G152" s="93"/>
      <c r="H152" s="93"/>
      <c r="I152" s="93"/>
      <c r="J152" s="74"/>
      <c r="K152" s="75"/>
      <c r="L152" s="75"/>
      <c r="M152" s="75"/>
      <c r="N152" s="75"/>
      <c r="O152" s="94"/>
      <c r="P152" s="95"/>
      <c r="Q152" s="106"/>
      <c r="R152" s="107"/>
      <c r="S152" s="123" t="s">
        <v>220</v>
      </c>
      <c r="T152" s="123"/>
      <c r="U152" s="123"/>
      <c r="V152" s="123"/>
      <c r="W152" s="123"/>
      <c r="X152" s="123"/>
    </row>
    <row r="153" spans="1:24" x14ac:dyDescent="0.3">
      <c r="A153" s="1" t="s">
        <v>27</v>
      </c>
      <c r="B153" s="9">
        <f>+[2]Historicals!B126</f>
        <v>115</v>
      </c>
      <c r="C153" s="9">
        <f>+[2]Historicals!C126</f>
        <v>73</v>
      </c>
      <c r="D153" s="9">
        <f>+[2]Historicals!D126</f>
        <v>73</v>
      </c>
      <c r="E153" s="9">
        <f>+[2]Historicals!E126</f>
        <v>88</v>
      </c>
      <c r="F153" s="9">
        <f>+[2]Historicals!F126</f>
        <v>42</v>
      </c>
      <c r="G153" s="9">
        <f>+[2]Historicals!G126</f>
        <v>30</v>
      </c>
      <c r="H153" s="9">
        <f>+[2]Historicals!H126</f>
        <v>25</v>
      </c>
      <c r="I153" s="9">
        <f>+[2]Historicals!I126</f>
        <v>102</v>
      </c>
      <c r="J153" s="108">
        <f>I153*(1+$Q$154)</f>
        <v>103.78570967567273</v>
      </c>
      <c r="K153" s="9">
        <f>J153*(1+$Q$154)</f>
        <v>105.60268169493166</v>
      </c>
      <c r="L153" s="9">
        <f>K153*(1+$Q$154)</f>
        <v>107.45146336630056</v>
      </c>
      <c r="M153" s="9">
        <f>L153*(1+$Q$154)</f>
        <v>109.33261158001034</v>
      </c>
      <c r="N153" s="9">
        <f>M153*(1+$Q$154)</f>
        <v>111.24669297574557</v>
      </c>
      <c r="O153" s="66"/>
      <c r="Q153" s="109"/>
      <c r="S153" s="123" t="s">
        <v>221</v>
      </c>
      <c r="T153" s="123"/>
      <c r="U153" s="123"/>
      <c r="V153" s="123"/>
      <c r="W153" s="123"/>
      <c r="X153" s="123"/>
    </row>
    <row r="154" spans="1:24" x14ac:dyDescent="0.3">
      <c r="A154" s="110" t="s">
        <v>201</v>
      </c>
      <c r="B154" s="81" t="str">
        <f t="shared" ref="B154:N154" si="100">+IFERROR(B153/A153-1,"nm")</f>
        <v>nm</v>
      </c>
      <c r="C154" s="81">
        <f t="shared" si="100"/>
        <v>-0.36521739130434783</v>
      </c>
      <c r="D154" s="81">
        <f t="shared" si="100"/>
        <v>0</v>
      </c>
      <c r="E154" s="81">
        <f t="shared" si="100"/>
        <v>0.20547945205479445</v>
      </c>
      <c r="F154" s="81">
        <f t="shared" si="100"/>
        <v>-0.52272727272727271</v>
      </c>
      <c r="G154" s="81">
        <f t="shared" si="100"/>
        <v>-0.2857142857142857</v>
      </c>
      <c r="H154" s="81">
        <f t="shared" si="100"/>
        <v>-0.16666666666666663</v>
      </c>
      <c r="I154" s="81">
        <f t="shared" si="100"/>
        <v>3.08</v>
      </c>
      <c r="J154" s="82">
        <f t="shared" si="100"/>
        <v>1.7506957604634721E-2</v>
      </c>
      <c r="K154" s="81">
        <f t="shared" si="100"/>
        <v>1.7506957604634721E-2</v>
      </c>
      <c r="L154" s="81">
        <f t="shared" si="100"/>
        <v>1.7506957604634721E-2</v>
      </c>
      <c r="M154" s="81">
        <f t="shared" si="100"/>
        <v>1.7506957604634721E-2</v>
      </c>
      <c r="N154" s="81">
        <f t="shared" si="100"/>
        <v>1.7506957604634721E-2</v>
      </c>
      <c r="O154" s="66">
        <f>AVERAGE(C154:I154)</f>
        <v>0.27787911937746024</v>
      </c>
      <c r="P154" s="111">
        <f>AVERAGE(C154:F154,I154)</f>
        <v>0.4795069576046348</v>
      </c>
      <c r="Q154" s="66">
        <f>AVERAGE(C154:F154,(I154*0.25))</f>
        <v>1.7506957604634787E-2</v>
      </c>
      <c r="R154" s="44"/>
      <c r="S154" s="123" t="s">
        <v>222</v>
      </c>
      <c r="T154" s="123"/>
      <c r="U154" s="123"/>
      <c r="V154" s="123"/>
      <c r="W154" s="123"/>
      <c r="X154" s="123"/>
    </row>
    <row r="155" spans="1:24" x14ac:dyDescent="0.3">
      <c r="A155" s="9" t="s">
        <v>128</v>
      </c>
      <c r="B155" s="101">
        <f>+[2]Historicals!B174+[2]Historicals!B141</f>
        <v>-2057</v>
      </c>
      <c r="C155" s="101">
        <f>+[2]Historicals!C174+[2]Historicals!C141</f>
        <v>-2366</v>
      </c>
      <c r="D155" s="101">
        <f>+[2]Historicals!D174+[2]Historicals!D141</f>
        <v>-2444</v>
      </c>
      <c r="E155" s="101">
        <f>+[2]Historicals!E174+[2]Historicals!E141</f>
        <v>-2441</v>
      </c>
      <c r="F155" s="101">
        <f>+[2]Historicals!F174+[2]Historicals!F141</f>
        <v>-3067</v>
      </c>
      <c r="G155" s="101">
        <f>+[2]Historicals!G174+[2]Historicals!G141</f>
        <v>-3254</v>
      </c>
      <c r="H155" s="101">
        <f>+[2]Historicals!H174+[2]Historicals!H141</f>
        <v>-3434</v>
      </c>
      <c r="I155" s="101">
        <f>+[2]Historicals!I174+[2]Historicals!I141</f>
        <v>-4042</v>
      </c>
      <c r="J155" s="108">
        <f>I155*(1+$P$156)</f>
        <v>-4539.5407542940548</v>
      </c>
      <c r="K155" s="9">
        <f>J155*(1+$P$156)</f>
        <v>-5098.3251508898165</v>
      </c>
      <c r="L155" s="9">
        <f>K155*(1+$P$156)</f>
        <v>-5725.891835998691</v>
      </c>
      <c r="M155" s="9">
        <f>L155*(1+$P$156)</f>
        <v>-6430.7074082621648</v>
      </c>
      <c r="N155" s="9">
        <f>M155*(1+$P$156)</f>
        <v>-7222.2806429358725</v>
      </c>
      <c r="O155" s="66"/>
      <c r="P155" s="111"/>
      <c r="Q155" s="112"/>
      <c r="R155" s="44"/>
      <c r="S155" s="123" t="s">
        <v>223</v>
      </c>
      <c r="T155" s="123"/>
      <c r="U155" s="123"/>
      <c r="V155" s="123"/>
      <c r="W155" s="123"/>
      <c r="X155" s="123"/>
    </row>
    <row r="156" spans="1:24" x14ac:dyDescent="0.3">
      <c r="A156" s="43" t="s">
        <v>127</v>
      </c>
      <c r="B156" s="81" t="str">
        <f t="shared" ref="B156:N156" si="101">+IFERROR(B155/A155-1,"nm")</f>
        <v>nm</v>
      </c>
      <c r="C156" s="81">
        <f t="shared" si="101"/>
        <v>0.15021876519202726</v>
      </c>
      <c r="D156" s="81">
        <f t="shared" si="101"/>
        <v>3.2967032967033072E-2</v>
      </c>
      <c r="E156" s="81">
        <f t="shared" si="101"/>
        <v>-1.2274959083469206E-3</v>
      </c>
      <c r="F156" s="81">
        <f t="shared" si="101"/>
        <v>0.25645227365833678</v>
      </c>
      <c r="G156" s="81">
        <f t="shared" si="101"/>
        <v>6.0971633518095869E-2</v>
      </c>
      <c r="H156" s="81">
        <f t="shared" si="101"/>
        <v>5.5316533497234088E-2</v>
      </c>
      <c r="I156" s="81">
        <f t="shared" si="101"/>
        <v>0.1770529994175889</v>
      </c>
      <c r="J156" s="82">
        <f t="shared" si="101"/>
        <v>0.12309271506532782</v>
      </c>
      <c r="K156" s="81">
        <f t="shared" si="101"/>
        <v>0.12309271506532782</v>
      </c>
      <c r="L156" s="81">
        <f t="shared" si="101"/>
        <v>0.12309271506532782</v>
      </c>
      <c r="M156" s="81">
        <f t="shared" si="101"/>
        <v>0.12309271506532782</v>
      </c>
      <c r="N156" s="81">
        <f t="shared" si="101"/>
        <v>0.12309271506532782</v>
      </c>
      <c r="O156" s="66">
        <f>AVERAGE(C156:I156)</f>
        <v>0.10453596319170987</v>
      </c>
      <c r="P156" s="111">
        <f>AVERAGE(C156:F156,I156)</f>
        <v>0.12309271506532782</v>
      </c>
      <c r="Q156" s="112"/>
      <c r="R156" s="44"/>
      <c r="S156" s="123" t="s">
        <v>224</v>
      </c>
      <c r="T156" s="123"/>
      <c r="U156" s="123"/>
      <c r="V156" s="123"/>
      <c r="W156" s="123"/>
      <c r="X156" s="123"/>
    </row>
    <row r="157" spans="1:24" x14ac:dyDescent="0.3">
      <c r="A157" s="43" t="s">
        <v>129</v>
      </c>
      <c r="B157" s="81">
        <f t="shared" ref="B157:N157" si="102">+IFERROR(B155/B$18,"nm")</f>
        <v>-0.14970887918486173</v>
      </c>
      <c r="C157" s="81">
        <f t="shared" si="102"/>
        <v>-0.16025467353020861</v>
      </c>
      <c r="D157" s="81">
        <f t="shared" si="102"/>
        <v>-0.16062039957939012</v>
      </c>
      <c r="E157" s="81">
        <f t="shared" si="102"/>
        <v>-0.16432177717940089</v>
      </c>
      <c r="F157" s="81">
        <f t="shared" si="102"/>
        <v>-0.19286882153188278</v>
      </c>
      <c r="G157" s="81">
        <f t="shared" si="102"/>
        <v>-0.22466169566418118</v>
      </c>
      <c r="H157" s="81">
        <f t="shared" si="102"/>
        <v>-0.19989522090924966</v>
      </c>
      <c r="I157" s="81">
        <f t="shared" si="102"/>
        <v>-0.22023647360104615</v>
      </c>
      <c r="J157" s="82">
        <f t="shared" si="102"/>
        <v>-0.23647329291001606</v>
      </c>
      <c r="K157" s="81">
        <f t="shared" si="102"/>
        <v>-0.2538754824147168</v>
      </c>
      <c r="L157" s="81">
        <f t="shared" si="102"/>
        <v>-0.27252579964273271</v>
      </c>
      <c r="M157" s="81">
        <f t="shared" si="102"/>
        <v>-0.29251285344613237</v>
      </c>
      <c r="N157" s="81">
        <f t="shared" si="102"/>
        <v>-0.31393151556426785</v>
      </c>
      <c r="O157" s="66">
        <f>AVERAGE(C157:I157)</f>
        <v>-0.18897986599933705</v>
      </c>
      <c r="P157" s="111">
        <f>AVERAGE(C157:F157,I157)</f>
        <v>-0.1796604290843857</v>
      </c>
      <c r="Q157" s="112"/>
      <c r="R157" s="44"/>
    </row>
    <row r="158" spans="1:24" x14ac:dyDescent="0.3">
      <c r="A158" s="9" t="s">
        <v>130</v>
      </c>
      <c r="B158" s="101">
        <f>+[2]Historicals!B174</f>
        <v>210</v>
      </c>
      <c r="C158" s="101">
        <f>+[2]Historicals!C174</f>
        <v>230</v>
      </c>
      <c r="D158" s="101">
        <f>+[2]Historicals!D174</f>
        <v>233</v>
      </c>
      <c r="E158" s="101">
        <f>+[2]Historicals!E174</f>
        <v>217</v>
      </c>
      <c r="F158" s="101">
        <f>+[2]Historicals!F174</f>
        <v>195</v>
      </c>
      <c r="G158" s="101">
        <f>+[2]Historicals!G174</f>
        <v>214</v>
      </c>
      <c r="H158" s="101">
        <f>+[2]Historicals!H174</f>
        <v>222</v>
      </c>
      <c r="I158" s="101">
        <f>+[2]Historicals!I174</f>
        <v>220</v>
      </c>
      <c r="J158" s="108">
        <f>I158*(1+$P$159)</f>
        <v>216.88570411700269</v>
      </c>
      <c r="K158" s="9">
        <f>J158*(1+$P$159)</f>
        <v>213.81549386512745</v>
      </c>
      <c r="L158" s="9">
        <f>K158*(1+$P$159)</f>
        <v>210.7887451730129</v>
      </c>
      <c r="M158" s="9">
        <f>L158*(1+$P$159)</f>
        <v>207.80484280358343</v>
      </c>
      <c r="N158" s="9">
        <f>M158*(1+$P$159)</f>
        <v>204.86318022899204</v>
      </c>
      <c r="O158" s="66"/>
      <c r="P158" s="111"/>
      <c r="Q158" s="112"/>
      <c r="R158" s="44"/>
    </row>
    <row r="159" spans="1:24" x14ac:dyDescent="0.3">
      <c r="A159" s="43" t="s">
        <v>127</v>
      </c>
      <c r="B159" s="81" t="str">
        <f t="shared" ref="B159:N159" si="103">+IFERROR(B158/A158-1,"nm")</f>
        <v>nm</v>
      </c>
      <c r="C159" s="81">
        <f t="shared" si="103"/>
        <v>9.5238095238095344E-2</v>
      </c>
      <c r="D159" s="81">
        <f t="shared" si="103"/>
        <v>1.304347826086949E-2</v>
      </c>
      <c r="E159" s="81">
        <f t="shared" si="103"/>
        <v>-6.8669527896995763E-2</v>
      </c>
      <c r="F159" s="81">
        <f t="shared" si="103"/>
        <v>-0.10138248847926268</v>
      </c>
      <c r="G159" s="81">
        <f t="shared" si="103"/>
        <v>9.7435897435897534E-2</v>
      </c>
      <c r="H159" s="81">
        <f t="shared" si="103"/>
        <v>3.7383177570093462E-2</v>
      </c>
      <c r="I159" s="81">
        <f t="shared" si="103"/>
        <v>-9.009009009009028E-3</v>
      </c>
      <c r="J159" s="82">
        <f t="shared" si="103"/>
        <v>-1.4155890377260505E-2</v>
      </c>
      <c r="K159" s="81">
        <f t="shared" si="103"/>
        <v>-1.4155890377260505E-2</v>
      </c>
      <c r="L159" s="81">
        <f t="shared" si="103"/>
        <v>-1.4155890377260505E-2</v>
      </c>
      <c r="M159" s="81">
        <f t="shared" si="103"/>
        <v>-1.4155890377260505E-2</v>
      </c>
      <c r="N159" s="81">
        <f t="shared" si="103"/>
        <v>-1.4155890377260616E-2</v>
      </c>
      <c r="O159" s="66">
        <f>AVERAGE(C159:I159)</f>
        <v>9.1485175885269079E-3</v>
      </c>
      <c r="P159" s="111">
        <f>AVERAGE(C159:F159,I159)</f>
        <v>-1.4155890377260527E-2</v>
      </c>
      <c r="Q159" s="112"/>
      <c r="R159" s="44"/>
    </row>
    <row r="160" spans="1:24" x14ac:dyDescent="0.3">
      <c r="A160" s="43" t="s">
        <v>131</v>
      </c>
      <c r="B160" s="81">
        <f t="shared" ref="B160:N160" si="104">+IFERROR(B158/B$18,"nm")</f>
        <v>1.5283842794759825E-2</v>
      </c>
      <c r="C160" s="81">
        <f t="shared" si="104"/>
        <v>1.5578434028718504E-2</v>
      </c>
      <c r="D160" s="81">
        <f t="shared" si="104"/>
        <v>1.5312828601472135E-2</v>
      </c>
      <c r="E160" s="81">
        <f t="shared" si="104"/>
        <v>1.460787613598115E-2</v>
      </c>
      <c r="F160" s="81">
        <f t="shared" si="104"/>
        <v>1.2262608476921143E-2</v>
      </c>
      <c r="G160" s="81">
        <f t="shared" si="104"/>
        <v>1.4774924054128693E-2</v>
      </c>
      <c r="H160" s="81">
        <f t="shared" si="104"/>
        <v>1.2922754525874615E-2</v>
      </c>
      <c r="I160" s="81">
        <f t="shared" si="104"/>
        <v>1.1987141066855556E-2</v>
      </c>
      <c r="J160" s="82">
        <f t="shared" si="104"/>
        <v>1.1297987927334031E-2</v>
      </c>
      <c r="K160" s="81">
        <f t="shared" si="104"/>
        <v>1.0647126271119871E-2</v>
      </c>
      <c r="L160" s="81">
        <f t="shared" si="104"/>
        <v>1.0032563132402261E-2</v>
      </c>
      <c r="M160" s="81">
        <f t="shared" si="104"/>
        <v>9.4523951517843791E-3</v>
      </c>
      <c r="N160" s="81">
        <f t="shared" si="104"/>
        <v>8.9048060899582886E-3</v>
      </c>
      <c r="O160" s="66">
        <f>AVERAGE(C160:I160)</f>
        <v>1.3920938127135971E-2</v>
      </c>
      <c r="P160" s="111">
        <f>AVERAGE(C160:F160,I160)</f>
        <v>1.3949777661989699E-2</v>
      </c>
      <c r="Q160" s="112"/>
      <c r="R160" s="44"/>
    </row>
    <row r="161" spans="1:18" x14ac:dyDescent="0.3">
      <c r="A161" s="9" t="s">
        <v>132</v>
      </c>
      <c r="B161" s="101">
        <f>+[2]Historicals!B141</f>
        <v>-2267</v>
      </c>
      <c r="C161" s="101">
        <f>+[2]Historicals!C141</f>
        <v>-2596</v>
      </c>
      <c r="D161" s="101">
        <f>+[2]Historicals!D141</f>
        <v>-2677</v>
      </c>
      <c r="E161" s="101">
        <f>+[2]Historicals!E141</f>
        <v>-2658</v>
      </c>
      <c r="F161" s="101">
        <f>+[2]Historicals!F141</f>
        <v>-3262</v>
      </c>
      <c r="G161" s="101">
        <f>+[2]Historicals!G141</f>
        <v>-3468</v>
      </c>
      <c r="H161" s="101">
        <f>+[2]Historicals!H141</f>
        <v>-3656</v>
      </c>
      <c r="I161" s="101">
        <f>+[2]Historicals!I141</f>
        <v>-4262</v>
      </c>
      <c r="J161" s="108">
        <f>I161*(1+$P$162)</f>
        <v>-4741.2393260842473</v>
      </c>
      <c r="K161" s="9">
        <f>J161*(1+$P$162)</f>
        <v>-5274.3665760694057</v>
      </c>
      <c r="L161" s="9">
        <f>K161*(1+$P$162)</f>
        <v>-5867.4411615778008</v>
      </c>
      <c r="M161" s="9">
        <f>L161*(1+$P$162)</f>
        <v>-6527.2038429746844</v>
      </c>
      <c r="N161" s="9">
        <f>M161*(1+$P$162)</f>
        <v>-7261.1533434255753</v>
      </c>
      <c r="O161" s="66"/>
      <c r="P161" s="111"/>
      <c r="Q161" s="112"/>
      <c r="R161" s="44"/>
    </row>
    <row r="162" spans="1:18" x14ac:dyDescent="0.3">
      <c r="A162" s="43" t="s">
        <v>127</v>
      </c>
      <c r="B162" s="81" t="str">
        <f t="shared" ref="B162:N162" si="105">+IFERROR(B161/A161-1,"nm")</f>
        <v>nm</v>
      </c>
      <c r="C162" s="81">
        <f t="shared" si="105"/>
        <v>0.145125716806352</v>
      </c>
      <c r="D162" s="81">
        <f t="shared" si="105"/>
        <v>3.1201848998459125E-2</v>
      </c>
      <c r="E162" s="81">
        <f t="shared" si="105"/>
        <v>-7.097497198356395E-3</v>
      </c>
      <c r="F162" s="81">
        <f t="shared" si="105"/>
        <v>0.22723852520692245</v>
      </c>
      <c r="G162" s="81">
        <f t="shared" si="105"/>
        <v>6.3151440833844275E-2</v>
      </c>
      <c r="H162" s="81">
        <f t="shared" si="105"/>
        <v>5.4209919261822392E-2</v>
      </c>
      <c r="I162" s="81">
        <f t="shared" si="105"/>
        <v>0.16575492341356668</v>
      </c>
      <c r="J162" s="82">
        <f t="shared" si="105"/>
        <v>0.11244470344538882</v>
      </c>
      <c r="K162" s="81">
        <f t="shared" si="105"/>
        <v>0.11244470344538882</v>
      </c>
      <c r="L162" s="81">
        <f t="shared" si="105"/>
        <v>0.11244470344538882</v>
      </c>
      <c r="M162" s="81">
        <f t="shared" si="105"/>
        <v>0.11244470344538882</v>
      </c>
      <c r="N162" s="81">
        <f t="shared" si="105"/>
        <v>0.11244470344538882</v>
      </c>
      <c r="O162" s="66">
        <f>AVERAGE(C162:I162)</f>
        <v>9.7083553903230077E-2</v>
      </c>
      <c r="P162" s="111">
        <f>AVERAGE(C162:F162,I162)</f>
        <v>0.11244470344538877</v>
      </c>
      <c r="Q162" s="112"/>
      <c r="R162" s="44"/>
    </row>
    <row r="163" spans="1:18" x14ac:dyDescent="0.3">
      <c r="A163" s="43" t="s">
        <v>129</v>
      </c>
      <c r="B163" s="81">
        <f t="shared" ref="B163:N163" si="106">+IFERROR(B161/B$18,"nm")</f>
        <v>-0.16499272197962153</v>
      </c>
      <c r="C163" s="81">
        <f t="shared" si="106"/>
        <v>-0.17583310755892712</v>
      </c>
      <c r="D163" s="81">
        <f t="shared" si="106"/>
        <v>-0.17593322818086224</v>
      </c>
      <c r="E163" s="81">
        <f t="shared" si="106"/>
        <v>-0.17892965331538202</v>
      </c>
      <c r="F163" s="81">
        <f t="shared" si="106"/>
        <v>-0.20513143000880393</v>
      </c>
      <c r="G163" s="81">
        <f t="shared" si="106"/>
        <v>-0.23943661971830985</v>
      </c>
      <c r="H163" s="81">
        <f t="shared" si="106"/>
        <v>-0.21281797543512429</v>
      </c>
      <c r="I163" s="81">
        <f t="shared" si="106"/>
        <v>-0.2322236146679017</v>
      </c>
      <c r="J163" s="82">
        <f t="shared" si="106"/>
        <v>-0.24698015429271364</v>
      </c>
      <c r="K163" s="81">
        <f t="shared" si="106"/>
        <v>-0.26264161647241657</v>
      </c>
      <c r="L163" s="81">
        <f t="shared" si="106"/>
        <v>-0.27926288868444499</v>
      </c>
      <c r="M163" s="81">
        <f t="shared" si="106"/>
        <v>-0.29690217575130712</v>
      </c>
      <c r="N163" s="81">
        <f t="shared" si="106"/>
        <v>-0.31562119869652672</v>
      </c>
      <c r="O163" s="66">
        <f>AVERAGE(C163:I163)</f>
        <v>-0.20290080412647304</v>
      </c>
      <c r="P163" s="111">
        <f>AVERAGE(C163:F163,I163)</f>
        <v>-0.19361020674637541</v>
      </c>
      <c r="Q163" s="112"/>
      <c r="R163" s="44"/>
    </row>
    <row r="164" spans="1:18" x14ac:dyDescent="0.3">
      <c r="A164" s="9" t="s">
        <v>133</v>
      </c>
      <c r="B164" s="104">
        <f>+[2]Historicals!B163</f>
        <v>225</v>
      </c>
      <c r="C164" s="104">
        <f>+[2]Historicals!C163</f>
        <v>258</v>
      </c>
      <c r="D164" s="104">
        <f>+[2]Historicals!D163</f>
        <v>278</v>
      </c>
      <c r="E164" s="104">
        <f>+[2]Historicals!E163</f>
        <v>286</v>
      </c>
      <c r="F164" s="104">
        <f>+[2]Historicals!F163</f>
        <v>278</v>
      </c>
      <c r="G164" s="104">
        <f>+[2]Historicals!G163</f>
        <v>438</v>
      </c>
      <c r="H164" s="104">
        <f>+[2]Historicals!H163</f>
        <v>278</v>
      </c>
      <c r="I164" s="104">
        <f>+[2]Historicals!I163</f>
        <v>222</v>
      </c>
      <c r="J164" s="108">
        <f>I164*(1+$P$165)</f>
        <v>223.0457153727985</v>
      </c>
      <c r="K164" s="9">
        <f>J164*(1+$P$165)</f>
        <v>224.09635651424975</v>
      </c>
      <c r="L164" s="9">
        <f>K164*(1+$P$165)</f>
        <v>225.15194662684021</v>
      </c>
      <c r="M164" s="9">
        <f>L164*(1+$P$165)</f>
        <v>226.2125090223501</v>
      </c>
      <c r="N164" s="9">
        <f>M164*(1+$P$165)</f>
        <v>227.2780671223681</v>
      </c>
      <c r="O164" s="66"/>
      <c r="P164" s="111"/>
      <c r="Q164" s="112"/>
      <c r="R164" s="44"/>
    </row>
    <row r="165" spans="1:18" x14ac:dyDescent="0.3">
      <c r="A165" s="43" t="s">
        <v>127</v>
      </c>
      <c r="B165" s="81" t="str">
        <f t="shared" ref="B165:N165" si="107">+IFERROR(B164/A164-1,"nm")</f>
        <v>nm</v>
      </c>
      <c r="C165" s="81">
        <f t="shared" si="107"/>
        <v>0.14666666666666672</v>
      </c>
      <c r="D165" s="81">
        <f t="shared" si="107"/>
        <v>7.7519379844961156E-2</v>
      </c>
      <c r="E165" s="81">
        <f t="shared" si="107"/>
        <v>2.877697841726623E-2</v>
      </c>
      <c r="F165" s="81">
        <f t="shared" si="107"/>
        <v>-2.7972027972028024E-2</v>
      </c>
      <c r="G165" s="81">
        <f t="shared" si="107"/>
        <v>0.57553956834532372</v>
      </c>
      <c r="H165" s="81">
        <f t="shared" si="107"/>
        <v>-0.36529680365296802</v>
      </c>
      <c r="I165" s="81">
        <f t="shared" si="107"/>
        <v>-0.20143884892086328</v>
      </c>
      <c r="J165" s="82">
        <f t="shared" si="107"/>
        <v>4.7104296072004725E-3</v>
      </c>
      <c r="K165" s="81">
        <f t="shared" si="107"/>
        <v>4.7104296072004725E-3</v>
      </c>
      <c r="L165" s="81">
        <f t="shared" si="107"/>
        <v>4.7104296072004725E-3</v>
      </c>
      <c r="M165" s="81">
        <f t="shared" si="107"/>
        <v>4.7104296072004725E-3</v>
      </c>
      <c r="N165" s="81">
        <f t="shared" si="107"/>
        <v>4.7104296072004725E-3</v>
      </c>
      <c r="O165" s="66">
        <f>AVERAGE(C165:I165)</f>
        <v>3.3399273246908355E-2</v>
      </c>
      <c r="P165" s="111">
        <f>AVERAGE(C165:F165,I165)</f>
        <v>4.710429607200561E-3</v>
      </c>
      <c r="Q165" s="112"/>
      <c r="R165" s="44"/>
    </row>
    <row r="166" spans="1:18" x14ac:dyDescent="0.3">
      <c r="A166" s="43" t="s">
        <v>131</v>
      </c>
      <c r="B166" s="81">
        <f t="shared" ref="B166:N166" si="108">+IFERROR(B164/B$18,"nm")</f>
        <v>1.6375545851528384E-2</v>
      </c>
      <c r="C166" s="81">
        <f t="shared" si="108"/>
        <v>1.7474939040910322E-2</v>
      </c>
      <c r="D166" s="81">
        <f t="shared" si="108"/>
        <v>1.8270241850683492E-2</v>
      </c>
      <c r="E166" s="81">
        <f t="shared" si="108"/>
        <v>1.9252776842813867E-2</v>
      </c>
      <c r="F166" s="81">
        <f t="shared" si="108"/>
        <v>1.7482077726072191E-2</v>
      </c>
      <c r="G166" s="81">
        <f t="shared" si="108"/>
        <v>3.0240265120132559E-2</v>
      </c>
      <c r="H166" s="81">
        <f t="shared" si="108"/>
        <v>1.618254846032947E-2</v>
      </c>
      <c r="I166" s="81">
        <f t="shared" si="108"/>
        <v>1.2096115076554241E-2</v>
      </c>
      <c r="J166" s="82">
        <f t="shared" si="108"/>
        <v>1.1618874603952783E-2</v>
      </c>
      <c r="K166" s="81">
        <f t="shared" si="108"/>
        <v>1.1159070662157747E-2</v>
      </c>
      <c r="L166" s="81">
        <f t="shared" si="108"/>
        <v>1.0716184666610166E-2</v>
      </c>
      <c r="M166" s="81">
        <f t="shared" si="108"/>
        <v>1.0289702562788251E-2</v>
      </c>
      <c r="N166" s="81">
        <f t="shared" si="108"/>
        <v>9.8791159737097387E-3</v>
      </c>
      <c r="O166" s="66">
        <f>AVERAGE(C166:I166)</f>
        <v>1.871413773107088E-2</v>
      </c>
      <c r="P166" s="111">
        <f>AVERAGE(C166:F166,I166)</f>
        <v>1.6915230107406823E-2</v>
      </c>
      <c r="Q166" s="112"/>
      <c r="R166" s="44"/>
    </row>
    <row r="167" spans="1:18" x14ac:dyDescent="0.3">
      <c r="A167" s="92" t="s">
        <v>107</v>
      </c>
      <c r="B167" s="93"/>
      <c r="C167" s="93"/>
      <c r="D167" s="93"/>
      <c r="E167" s="93"/>
      <c r="F167" s="93"/>
      <c r="G167" s="93"/>
      <c r="H167" s="93"/>
      <c r="I167" s="93"/>
      <c r="J167" s="74"/>
      <c r="K167" s="75"/>
      <c r="L167" s="75"/>
      <c r="M167" s="75"/>
      <c r="N167" s="75"/>
      <c r="O167" s="113"/>
      <c r="P167" s="114"/>
      <c r="Q167" s="115"/>
      <c r="R167" s="107"/>
    </row>
    <row r="168" spans="1:18" x14ac:dyDescent="0.3">
      <c r="A168" s="1" t="s">
        <v>27</v>
      </c>
      <c r="B168" s="9">
        <f>+[2]Historicals!B133</f>
        <v>-82</v>
      </c>
      <c r="C168" s="9">
        <f>+[2]Historicals!C133</f>
        <v>-86</v>
      </c>
      <c r="D168" s="9">
        <f>+[2]Historicals!D133</f>
        <v>75</v>
      </c>
      <c r="E168" s="9">
        <f>+[2]Historicals!E133</f>
        <v>26</v>
      </c>
      <c r="F168" s="9">
        <f>+[2]Historicals!F133</f>
        <v>-7</v>
      </c>
      <c r="G168" s="9">
        <f>+[2]Historicals!G133</f>
        <v>-11</v>
      </c>
      <c r="H168" s="9">
        <f>+[2]Historicals!H133</f>
        <v>40</v>
      </c>
      <c r="I168" s="9">
        <f>+[2]Historicals!I133</f>
        <v>-72</v>
      </c>
      <c r="J168" s="108">
        <f>I168*(1+$Q$169)</f>
        <v>-41.905673371438546</v>
      </c>
      <c r="K168" s="9">
        <f>J168*(1+$Q$169)</f>
        <v>-24.390075843245747</v>
      </c>
      <c r="L168" s="9">
        <f>K168*(1+$Q$169)</f>
        <v>-14.195590997106526</v>
      </c>
      <c r="M168" s="9">
        <f>L168*(1+$Q$169)</f>
        <v>-8.2621638838788858</v>
      </c>
      <c r="N168" s="9">
        <f>M168*(1+$Q$169)</f>
        <v>-4.8087714035989544</v>
      </c>
      <c r="O168" s="66"/>
      <c r="P168" s="116"/>
      <c r="Q168" s="117"/>
    </row>
    <row r="169" spans="1:18" x14ac:dyDescent="0.3">
      <c r="A169" s="118" t="s">
        <v>201</v>
      </c>
      <c r="B169" s="81" t="str">
        <f t="shared" ref="B169:N169" si="109">+IFERROR(B168/A168-1,"nm")</f>
        <v>nm</v>
      </c>
      <c r="C169" s="81">
        <f t="shared" si="109"/>
        <v>4.8780487804878092E-2</v>
      </c>
      <c r="D169" s="81">
        <f t="shared" si="109"/>
        <v>-1.8720930232558139</v>
      </c>
      <c r="E169" s="81">
        <f t="shared" si="109"/>
        <v>-0.65333333333333332</v>
      </c>
      <c r="F169" s="81">
        <f t="shared" si="109"/>
        <v>-1.2692307692307692</v>
      </c>
      <c r="G169" s="81">
        <f t="shared" si="109"/>
        <v>0.5714285714285714</v>
      </c>
      <c r="H169" s="81">
        <f t="shared" si="109"/>
        <v>-4.6363636363636367</v>
      </c>
      <c r="I169" s="81">
        <f t="shared" si="109"/>
        <v>-2.8</v>
      </c>
      <c r="J169" s="82">
        <f t="shared" si="109"/>
        <v>-0.41797675873002016</v>
      </c>
      <c r="K169" s="81">
        <f t="shared" si="109"/>
        <v>-0.41797675873002016</v>
      </c>
      <c r="L169" s="81">
        <f t="shared" si="109"/>
        <v>-0.41797675873002016</v>
      </c>
      <c r="M169" s="81">
        <f t="shared" si="109"/>
        <v>-0.41797675873002016</v>
      </c>
      <c r="N169" s="81">
        <f t="shared" si="109"/>
        <v>-0.41797675873002016</v>
      </c>
      <c r="O169" s="66">
        <f>AVERAGE(C169:I169)</f>
        <v>-1.5158302432785862</v>
      </c>
      <c r="P169" s="111">
        <f>AVERAGE(C169:F169,I169)</f>
        <v>-1.3091753276030076</v>
      </c>
      <c r="Q169" s="66">
        <f>AVERAGE(C169,E169,(D169*0.25),(F169*0.25),(I169*0.25))</f>
        <v>-0.41797675873002016</v>
      </c>
    </row>
    <row r="170" spans="1:18" x14ac:dyDescent="0.3">
      <c r="A170" s="9" t="s">
        <v>128</v>
      </c>
      <c r="B170" s="101">
        <f>+[2]Historicals!B177+[2]Historicals!B144</f>
        <v>-1022</v>
      </c>
      <c r="C170" s="101">
        <f>+[2]Historicals!C177+[2]Historicals!C144</f>
        <v>-1089</v>
      </c>
      <c r="D170" s="101">
        <f>+[2]Historicals!D177+[2]Historicals!D144</f>
        <v>-633</v>
      </c>
      <c r="E170" s="101">
        <f>+[2]Historicals!E177+[2]Historicals!E144</f>
        <v>-1346</v>
      </c>
      <c r="F170" s="101">
        <f>+[2]Historicals!F177+[2]Historicals!F144</f>
        <v>-1694</v>
      </c>
      <c r="G170" s="101">
        <f>+[2]Historicals!G177+[2]Historicals!G144</f>
        <v>-1855</v>
      </c>
      <c r="H170" s="101">
        <f>+[2]Historicals!H177+[2]Historicals!H144</f>
        <v>-2120</v>
      </c>
      <c r="I170" s="101">
        <f>+[2]Historicals!I177+[2]Historicals!I144</f>
        <v>-2085</v>
      </c>
      <c r="J170" s="108">
        <f>I170*(1+$Q$171)</f>
        <v>-2156.0797032288265</v>
      </c>
      <c r="K170" s="9">
        <f>J170*(1+$Q$171)</f>
        <v>-2229.5825835373162</v>
      </c>
      <c r="L170" s="9">
        <f>K170*(1+$Q$171)</f>
        <v>-2305.5912494183676</v>
      </c>
      <c r="M170" s="9">
        <f>L170*(1+$Q$171)</f>
        <v>-2384.1911255697519</v>
      </c>
      <c r="N170" s="9">
        <f>M170*(1+$Q$171)</f>
        <v>-2465.4705489013104</v>
      </c>
      <c r="O170" s="66"/>
      <c r="P170" s="111"/>
      <c r="Q170" s="66"/>
    </row>
    <row r="171" spans="1:18" x14ac:dyDescent="0.3">
      <c r="A171" s="43" t="s">
        <v>127</v>
      </c>
      <c r="B171" s="81" t="str">
        <f t="shared" ref="B171:N171" si="110">+IFERROR(B170/A170-1,"nm")</f>
        <v>nm</v>
      </c>
      <c r="C171" s="81">
        <f t="shared" si="110"/>
        <v>6.5557729941291498E-2</v>
      </c>
      <c r="D171" s="81">
        <f t="shared" si="110"/>
        <v>-0.41873278236914602</v>
      </c>
      <c r="E171" s="81">
        <f t="shared" si="110"/>
        <v>1.126382306477093</v>
      </c>
      <c r="F171" s="81">
        <f t="shared" si="110"/>
        <v>0.25854383358098065</v>
      </c>
      <c r="G171" s="81">
        <f t="shared" si="110"/>
        <v>9.5041322314049603E-2</v>
      </c>
      <c r="H171" s="81">
        <f t="shared" si="110"/>
        <v>0.14285714285714279</v>
      </c>
      <c r="I171" s="81">
        <f t="shared" si="110"/>
        <v>-1.650943396226412E-2</v>
      </c>
      <c r="J171" s="82">
        <f t="shared" si="110"/>
        <v>3.4090984762026988E-2</v>
      </c>
      <c r="K171" s="81">
        <f t="shared" si="110"/>
        <v>3.4090984762026988E-2</v>
      </c>
      <c r="L171" s="81">
        <f t="shared" si="110"/>
        <v>3.4090984762026988E-2</v>
      </c>
      <c r="M171" s="81">
        <f t="shared" si="110"/>
        <v>3.4090984762026988E-2</v>
      </c>
      <c r="N171" s="81">
        <f t="shared" si="110"/>
        <v>3.4090984762026988E-2</v>
      </c>
      <c r="O171" s="66">
        <f>AVERAGE(C171:I171)</f>
        <v>0.17902001697702108</v>
      </c>
      <c r="P171" s="111">
        <f>AVERAGE(C171:F171,I171)</f>
        <v>0.20304833073359099</v>
      </c>
      <c r="Q171" s="66">
        <f>AVERAGE(C171:D171,F171,I171,(E171*0.25))</f>
        <v>3.4090984762027057E-2</v>
      </c>
    </row>
    <row r="172" spans="1:18" x14ac:dyDescent="0.3">
      <c r="A172" s="43" t="s">
        <v>129</v>
      </c>
      <c r="B172" s="81">
        <f t="shared" ref="B172:N172" si="111">+IFERROR(B170/B$18,"nm")</f>
        <v>-7.4381368267831149E-2</v>
      </c>
      <c r="C172" s="81">
        <f t="shared" si="111"/>
        <v>-7.3760498509888917E-2</v>
      </c>
      <c r="D172" s="81">
        <f t="shared" si="111"/>
        <v>-4.1600946372239746E-2</v>
      </c>
      <c r="E172" s="81">
        <f t="shared" si="111"/>
        <v>-9.0609222484012111E-2</v>
      </c>
      <c r="F172" s="81">
        <f t="shared" si="111"/>
        <v>-0.10652748082002264</v>
      </c>
      <c r="G172" s="81">
        <f t="shared" si="111"/>
        <v>-0.12807235570284453</v>
      </c>
      <c r="H172" s="81">
        <f t="shared" si="111"/>
        <v>-0.12340648466150532</v>
      </c>
      <c r="I172" s="81">
        <f t="shared" si="111"/>
        <v>-0.11360540511088106</v>
      </c>
      <c r="J172" s="82">
        <f t="shared" si="111"/>
        <v>-0.11231428349149351</v>
      </c>
      <c r="K172" s="81">
        <f t="shared" si="111"/>
        <v>-0.11102398086167489</v>
      </c>
      <c r="L172" s="81">
        <f t="shared" si="111"/>
        <v>-0.10973541186137969</v>
      </c>
      <c r="M172" s="81">
        <f t="shared" si="111"/>
        <v>-0.1084494294368497</v>
      </c>
      <c r="N172" s="81">
        <f t="shared" si="111"/>
        <v>-0.10716682780150559</v>
      </c>
      <c r="O172" s="66">
        <f>AVERAGE(C172:I172)</f>
        <v>-9.6797484808770609E-2</v>
      </c>
      <c r="P172" s="111">
        <f>AVERAGE(C172:F172,I172)</f>
        <v>-8.5220710659408894E-2</v>
      </c>
      <c r="Q172" s="117"/>
    </row>
    <row r="173" spans="1:18" x14ac:dyDescent="0.3">
      <c r="A173" s="9" t="s">
        <v>130</v>
      </c>
      <c r="B173" s="101">
        <f>+[2]Historicals!B177</f>
        <v>75</v>
      </c>
      <c r="C173" s="101">
        <f>+[2]Historicals!C177</f>
        <v>84</v>
      </c>
      <c r="D173" s="101">
        <f>+[2]Historicals!D177</f>
        <v>91</v>
      </c>
      <c r="E173" s="101">
        <f>+[2]Historicals!E177</f>
        <v>110</v>
      </c>
      <c r="F173" s="101">
        <f>+[2]Historicals!F177</f>
        <v>116</v>
      </c>
      <c r="G173" s="101">
        <f>+[2]Historicals!G177</f>
        <v>112</v>
      </c>
      <c r="H173" s="101">
        <f>+[2]Historicals!H177</f>
        <v>141</v>
      </c>
      <c r="I173" s="101">
        <f>+[2]Historicals!I177</f>
        <v>134</v>
      </c>
      <c r="J173" s="108">
        <f>I173*(1+$P$174)</f>
        <v>145.17625945685521</v>
      </c>
      <c r="K173" s="9">
        <f>J173*(1+$P$174)</f>
        <v>157.28467395435925</v>
      </c>
      <c r="L173" s="9">
        <f>K173*(1+$P$174)</f>
        <v>170.40298981033533</v>
      </c>
      <c r="M173" s="9">
        <f>L173*(1+$P$174)</f>
        <v>184.61543776812758</v>
      </c>
      <c r="N173" s="9">
        <f>M173*(1+$P$174)</f>
        <v>200.01327382960145</v>
      </c>
      <c r="O173" s="66"/>
      <c r="P173" s="111"/>
      <c r="Q173" s="117"/>
    </row>
    <row r="174" spans="1:18" x14ac:dyDescent="0.3">
      <c r="A174" s="43" t="s">
        <v>127</v>
      </c>
      <c r="B174" s="81" t="str">
        <f t="shared" ref="B174:N174" si="112">+IFERROR(B173/A173-1,"nm")</f>
        <v>nm</v>
      </c>
      <c r="C174" s="81">
        <f t="shared" si="112"/>
        <v>0.12000000000000011</v>
      </c>
      <c r="D174" s="81">
        <f t="shared" si="112"/>
        <v>8.3333333333333259E-2</v>
      </c>
      <c r="E174" s="81">
        <f t="shared" si="112"/>
        <v>0.20879120879120872</v>
      </c>
      <c r="F174" s="81">
        <f t="shared" si="112"/>
        <v>5.4545454545454453E-2</v>
      </c>
      <c r="G174" s="81">
        <f t="shared" si="112"/>
        <v>-3.4482758620689613E-2</v>
      </c>
      <c r="H174" s="81">
        <f t="shared" si="112"/>
        <v>0.2589285714285714</v>
      </c>
      <c r="I174" s="81">
        <f t="shared" si="112"/>
        <v>-4.9645390070921946E-2</v>
      </c>
      <c r="J174" s="82">
        <f t="shared" si="112"/>
        <v>8.3404921319814918E-2</v>
      </c>
      <c r="K174" s="81">
        <f t="shared" si="112"/>
        <v>8.3404921319814918E-2</v>
      </c>
      <c r="L174" s="81">
        <f t="shared" si="112"/>
        <v>8.3404921319814918E-2</v>
      </c>
      <c r="M174" s="81">
        <f t="shared" si="112"/>
        <v>8.3404921319814918E-2</v>
      </c>
      <c r="N174" s="81">
        <f t="shared" si="112"/>
        <v>8.3404921319814918E-2</v>
      </c>
      <c r="O174" s="66">
        <f>AVERAGE(C174:I174)</f>
        <v>9.1638631343850904E-2</v>
      </c>
      <c r="P174" s="111">
        <f>AVERAGE(C174:F174,I174)</f>
        <v>8.3404921319814918E-2</v>
      </c>
      <c r="Q174" s="117"/>
    </row>
    <row r="175" spans="1:18" x14ac:dyDescent="0.3">
      <c r="A175" s="43" t="s">
        <v>131</v>
      </c>
      <c r="B175" s="81">
        <f t="shared" ref="B175:N175" si="113">+IFERROR(B173/B$18,"nm")</f>
        <v>5.4585152838427945E-3</v>
      </c>
      <c r="C175" s="81">
        <f t="shared" si="113"/>
        <v>5.6895150365754536E-3</v>
      </c>
      <c r="D175" s="81">
        <f t="shared" si="113"/>
        <v>5.9805467928496321E-3</v>
      </c>
      <c r="E175" s="81">
        <f t="shared" si="113"/>
        <v>7.4049141703130261E-3</v>
      </c>
      <c r="F175" s="81">
        <f t="shared" si="113"/>
        <v>7.2946799144761668E-3</v>
      </c>
      <c r="G175" s="81">
        <f t="shared" si="113"/>
        <v>7.732670533001933E-3</v>
      </c>
      <c r="H175" s="81">
        <f t="shared" si="113"/>
        <v>8.2076954421095531E-3</v>
      </c>
      <c r="I175" s="81">
        <f t="shared" si="113"/>
        <v>7.3012586498120199E-3</v>
      </c>
      <c r="J175" s="82">
        <f t="shared" si="113"/>
        <v>7.5625068667238178E-3</v>
      </c>
      <c r="K175" s="81">
        <f t="shared" si="113"/>
        <v>7.8321255107935278E-3</v>
      </c>
      <c r="L175" s="81">
        <f t="shared" si="113"/>
        <v>8.1103891567791547E-3</v>
      </c>
      <c r="M175" s="81">
        <f t="shared" si="113"/>
        <v>8.3975813333350656E-3</v>
      </c>
      <c r="N175" s="81">
        <f t="shared" si="113"/>
        <v>8.6939947768040812E-3</v>
      </c>
      <c r="O175" s="66">
        <f>AVERAGE(C175:I175)</f>
        <v>7.0873257913053973E-3</v>
      </c>
      <c r="P175" s="111">
        <f>AVERAGE(C175:F175,I175)</f>
        <v>6.7341829128052602E-3</v>
      </c>
      <c r="Q175" s="117"/>
    </row>
    <row r="176" spans="1:18" x14ac:dyDescent="0.3">
      <c r="A176" s="9" t="s">
        <v>132</v>
      </c>
      <c r="B176" s="101">
        <f>+[2]Historicals!B144</f>
        <v>-1097</v>
      </c>
      <c r="C176" s="101">
        <f>+[2]Historicals!C144</f>
        <v>-1173</v>
      </c>
      <c r="D176" s="101">
        <f>+[2]Historicals!D144</f>
        <v>-724</v>
      </c>
      <c r="E176" s="101">
        <f>+[2]Historicals!E144</f>
        <v>-1456</v>
      </c>
      <c r="F176" s="101">
        <f>+[2]Historicals!F144</f>
        <v>-1810</v>
      </c>
      <c r="G176" s="101">
        <f>+[2]Historicals!G144</f>
        <v>-1967</v>
      </c>
      <c r="H176" s="101">
        <f>+[2]Historicals!H144</f>
        <v>-2261</v>
      </c>
      <c r="I176" s="101">
        <f>+[2]Historicals!I144</f>
        <v>-2219</v>
      </c>
      <c r="J176" s="108">
        <f>I176*(1+$Q$177)</f>
        <v>-2291.7029179955466</v>
      </c>
      <c r="K176" s="9">
        <f>J176*(1+$Q$177)</f>
        <v>-2366.7878613561529</v>
      </c>
      <c r="L176" s="9">
        <f>K176*(1+$Q$177)</f>
        <v>-2444.3328743336347</v>
      </c>
      <c r="M176" s="9">
        <f>L176*(1+$Q$177)</f>
        <v>-2524.4185582076757</v>
      </c>
      <c r="N176" s="9">
        <f>M176*(1+$Q$177)</f>
        <v>-2607.1281550638314</v>
      </c>
      <c r="O176" s="66"/>
      <c r="P176" s="111"/>
      <c r="Q176" s="117"/>
    </row>
    <row r="177" spans="1:17" x14ac:dyDescent="0.3">
      <c r="A177" s="43" t="s">
        <v>127</v>
      </c>
      <c r="B177" s="81" t="str">
        <f t="shared" ref="B177:N177" si="114">+IFERROR(B176/A176-1,"nm")</f>
        <v>nm</v>
      </c>
      <c r="C177" s="81">
        <f t="shared" si="114"/>
        <v>6.9279854147675568E-2</v>
      </c>
      <c r="D177" s="81">
        <f t="shared" si="114"/>
        <v>-0.38277919863597609</v>
      </c>
      <c r="E177" s="81">
        <f t="shared" si="114"/>
        <v>1.0110497237569063</v>
      </c>
      <c r="F177" s="81">
        <f t="shared" si="114"/>
        <v>0.24313186813186816</v>
      </c>
      <c r="G177" s="81">
        <f t="shared" si="114"/>
        <v>8.6740331491712785E-2</v>
      </c>
      <c r="H177" s="81">
        <f t="shared" si="114"/>
        <v>0.14946619217081847</v>
      </c>
      <c r="I177" s="81">
        <f t="shared" si="114"/>
        <v>-1.8575851393188847E-2</v>
      </c>
      <c r="J177" s="82">
        <f t="shared" si="114"/>
        <v>3.2763820637921048E-2</v>
      </c>
      <c r="K177" s="81">
        <f t="shared" si="114"/>
        <v>3.2763820637921048E-2</v>
      </c>
      <c r="L177" s="81">
        <f t="shared" si="114"/>
        <v>3.2763820637921048E-2</v>
      </c>
      <c r="M177" s="81">
        <f t="shared" si="114"/>
        <v>3.2763820637921048E-2</v>
      </c>
      <c r="N177" s="81">
        <f t="shared" si="114"/>
        <v>3.2763820637921048E-2</v>
      </c>
      <c r="O177" s="66">
        <f>AVERAGE(C177:I177)</f>
        <v>0.16547327423854519</v>
      </c>
      <c r="P177" s="111">
        <f>AVERAGE(C177:F177,I177)</f>
        <v>0.18442127920145701</v>
      </c>
      <c r="Q177" s="66">
        <f>AVERAGE(C177:D177,F177,I177,(E177*0.25))</f>
        <v>3.2763820637921069E-2</v>
      </c>
    </row>
    <row r="178" spans="1:17" x14ac:dyDescent="0.3">
      <c r="A178" s="43" t="s">
        <v>129</v>
      </c>
      <c r="B178" s="81">
        <f t="shared" ref="B178:N178" si="115">+IFERROR(B176/B$18,"nm")</f>
        <v>-7.9839883551673943E-2</v>
      </c>
      <c r="C178" s="81">
        <f t="shared" si="115"/>
        <v>-7.9450013546464374E-2</v>
      </c>
      <c r="D178" s="81">
        <f t="shared" si="115"/>
        <v>-4.7581493165089382E-2</v>
      </c>
      <c r="E178" s="81">
        <f t="shared" si="115"/>
        <v>-9.8014136654325137E-2</v>
      </c>
      <c r="F178" s="81">
        <f t="shared" si="115"/>
        <v>-0.1138221607344988</v>
      </c>
      <c r="G178" s="81">
        <f t="shared" si="115"/>
        <v>-0.13580502623584645</v>
      </c>
      <c r="H178" s="81">
        <f t="shared" si="115"/>
        <v>-0.13161418010361489</v>
      </c>
      <c r="I178" s="81">
        <f t="shared" si="115"/>
        <v>-0.12090666376069308</v>
      </c>
      <c r="J178" s="82">
        <f t="shared" si="115"/>
        <v>-0.11937915413079589</v>
      </c>
      <c r="K178" s="81">
        <f t="shared" si="115"/>
        <v>-0.11785623558556652</v>
      </c>
      <c r="L178" s="81">
        <f t="shared" si="115"/>
        <v>-0.11633886742022373</v>
      </c>
      <c r="M178" s="81">
        <f t="shared" si="115"/>
        <v>-0.11482793865025973</v>
      </c>
      <c r="N178" s="81">
        <f t="shared" si="115"/>
        <v>-0.11332427157756592</v>
      </c>
      <c r="O178" s="66">
        <f>AVERAGE(C178:I178)</f>
        <v>-0.10388481060007601</v>
      </c>
      <c r="P178" s="111">
        <f>AVERAGE(C178:F178,I178)</f>
        <v>-9.1954893572214161E-2</v>
      </c>
      <c r="Q178" s="66"/>
    </row>
    <row r="179" spans="1:17" x14ac:dyDescent="0.3">
      <c r="A179" s="9" t="s">
        <v>133</v>
      </c>
      <c r="B179" s="104">
        <f>+[2]Historicals!B166</f>
        <v>104</v>
      </c>
      <c r="C179" s="104">
        <f>+[2]Historicals!C166</f>
        <v>264</v>
      </c>
      <c r="D179" s="104">
        <f>+[2]Historicals!D166</f>
        <v>291</v>
      </c>
      <c r="E179" s="104">
        <f>+[2]Historicals!E166</f>
        <v>159</v>
      </c>
      <c r="F179" s="104">
        <f>+[2]Historicals!F166</f>
        <v>377</v>
      </c>
      <c r="G179" s="104">
        <f>+[2]Historicals!G166</f>
        <v>318</v>
      </c>
      <c r="H179" s="104">
        <f>+[2]Historicals!H166</f>
        <v>11</v>
      </c>
      <c r="I179" s="104">
        <f>+[2]Historicals!I166</f>
        <v>50</v>
      </c>
      <c r="J179" s="108">
        <f>I179*(1+$Q$180)</f>
        <v>62.624107964265519</v>
      </c>
      <c r="K179" s="9">
        <f>J179*(1+$Q$180)</f>
        <v>78.435577966399677</v>
      </c>
      <c r="L179" s="9">
        <f>K179*(1+$Q$180)</f>
        <v>98.239162056147578</v>
      </c>
      <c r="M179" s="9">
        <f>L179*(1+$Q$180)</f>
        <v>123.04279781846324</v>
      </c>
      <c r="N179" s="9">
        <f>M179*(1+$Q$180)</f>
        <v>154.10890909617473</v>
      </c>
      <c r="O179" s="66"/>
      <c r="P179" s="111"/>
      <c r="Q179" s="66"/>
    </row>
    <row r="180" spans="1:17" x14ac:dyDescent="0.3">
      <c r="A180" s="43" t="s">
        <v>127</v>
      </c>
      <c r="B180" s="81" t="str">
        <f t="shared" ref="B180:N180" si="116">+IFERROR(B179/A179-1,"nm")</f>
        <v>nm</v>
      </c>
      <c r="C180" s="81">
        <f t="shared" si="116"/>
        <v>1.5384615384615383</v>
      </c>
      <c r="D180" s="81">
        <f t="shared" si="116"/>
        <v>0.10227272727272729</v>
      </c>
      <c r="E180" s="81">
        <f t="shared" si="116"/>
        <v>-0.45360824742268047</v>
      </c>
      <c r="F180" s="81">
        <f t="shared" si="116"/>
        <v>1.3710691823899372</v>
      </c>
      <c r="G180" s="81">
        <f t="shared" si="116"/>
        <v>-0.156498673740053</v>
      </c>
      <c r="H180" s="81">
        <f t="shared" si="116"/>
        <v>-0.96540880503144655</v>
      </c>
      <c r="I180" s="81">
        <f t="shared" si="116"/>
        <v>3.5454545454545459</v>
      </c>
      <c r="J180" s="82">
        <f t="shared" si="116"/>
        <v>0.25248215928531037</v>
      </c>
      <c r="K180" s="81">
        <f t="shared" si="116"/>
        <v>0.25248215928531037</v>
      </c>
      <c r="L180" s="81">
        <f t="shared" si="116"/>
        <v>0.25248215928531037</v>
      </c>
      <c r="M180" s="81">
        <f t="shared" si="116"/>
        <v>0.25248215928531037</v>
      </c>
      <c r="N180" s="81">
        <f t="shared" si="116"/>
        <v>0.25248215928531037</v>
      </c>
      <c r="O180" s="66">
        <f>AVERAGE(C180:I180)</f>
        <v>0.71167746676922405</v>
      </c>
      <c r="P180" s="111">
        <f>AVERAGE(C180:F180,I180)</f>
        <v>1.2207299492312136</v>
      </c>
      <c r="Q180" s="66">
        <f>AVERAGE(D180:E180,(C180*0.25),(F180*0.25),(I180*0.25))</f>
        <v>0.25248215928531048</v>
      </c>
    </row>
    <row r="181" spans="1:17" x14ac:dyDescent="0.3">
      <c r="A181" s="43" t="s">
        <v>131</v>
      </c>
      <c r="B181" s="81">
        <f t="shared" ref="B181:N181" si="117">+IFERROR(B179/B$18,"nm")</f>
        <v>7.5691411935953417E-3</v>
      </c>
      <c r="C181" s="81">
        <f t="shared" si="117"/>
        <v>1.7881332972094283E-2</v>
      </c>
      <c r="D181" s="81">
        <f t="shared" si="117"/>
        <v>1.9124605678233438E-2</v>
      </c>
      <c r="E181" s="81">
        <f t="shared" si="117"/>
        <v>1.0703466846179737E-2</v>
      </c>
      <c r="F181" s="81">
        <f t="shared" si="117"/>
        <v>2.370770972204754E-2</v>
      </c>
      <c r="G181" s="81">
        <f t="shared" si="117"/>
        <v>2.1955260977630488E-2</v>
      </c>
      <c r="H181" s="81">
        <f t="shared" si="117"/>
        <v>6.4031666569648994E-4</v>
      </c>
      <c r="I181" s="81">
        <f t="shared" si="117"/>
        <v>2.7243502424671717E-3</v>
      </c>
      <c r="J181" s="82">
        <f t="shared" si="117"/>
        <v>3.2622086302131173E-3</v>
      </c>
      <c r="K181" s="81">
        <f t="shared" si="117"/>
        <v>3.9057670127652477E-3</v>
      </c>
      <c r="L181" s="81">
        <f t="shared" si="117"/>
        <v>4.6757268496173086E-3</v>
      </c>
      <c r="M181" s="81">
        <f t="shared" si="117"/>
        <v>5.5968336919873345E-3</v>
      </c>
      <c r="N181" s="81">
        <f t="shared" si="117"/>
        <v>6.6986656689723553E-3</v>
      </c>
      <c r="O181" s="66">
        <f>AVERAGE(C181:I181)</f>
        <v>1.3819577586335592E-2</v>
      </c>
      <c r="P181" s="111">
        <f>AVERAGE(C181:F181,I181)</f>
        <v>1.4828293092204436E-2</v>
      </c>
      <c r="Q181" s="117"/>
    </row>
  </sheetData>
  <mergeCells count="2">
    <mergeCell ref="O2:P2"/>
    <mergeCell ref="Q150:R1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8"/>
  <sheetViews>
    <sheetView tabSelected="1" topLeftCell="B9" zoomScale="80" zoomScaleNormal="80" workbookViewId="0">
      <selection activeCell="G48" sqref="G48"/>
    </sheetView>
  </sheetViews>
  <sheetFormatPr defaultRowHeight="14.4" x14ac:dyDescent="0.3"/>
  <cols>
    <col min="1" max="1" width="48.77734375" customWidth="1"/>
    <col min="2" max="6" width="11.77734375" customWidth="1"/>
    <col min="7" max="7" width="10.88671875" customWidth="1"/>
    <col min="8" max="8" width="11.109375" customWidth="1"/>
    <col min="9" max="9" width="10.21875" customWidth="1"/>
    <col min="10" max="10" width="10.44140625" customWidth="1"/>
    <col min="11" max="11" width="10.21875" customWidth="1"/>
    <col min="12" max="12" width="10.44140625" customWidth="1"/>
    <col min="13" max="13" width="9.21875" customWidth="1"/>
    <col min="14" max="14" width="10" customWidth="1"/>
    <col min="15" max="15" width="11.44140625" customWidth="1"/>
    <col min="16" max="16" width="13.5546875" customWidth="1"/>
    <col min="17" max="17" width="62.6640625" customWidth="1"/>
    <col min="18" max="18" width="15" bestFit="1" customWidth="1"/>
    <col min="19" max="19" width="5" bestFit="1" customWidth="1"/>
  </cols>
  <sheetData>
    <row r="1" spans="1:17" ht="60" customHeight="1" x14ac:dyDescent="0.4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50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71" t="s">
        <v>196</v>
      </c>
      <c r="P1" s="72" t="s">
        <v>197</v>
      </c>
      <c r="Q1" s="164" t="s">
        <v>228</v>
      </c>
    </row>
    <row r="2" spans="1:17" x14ac:dyDescent="0.3">
      <c r="A2" s="38" t="s">
        <v>146</v>
      </c>
      <c r="B2" s="38"/>
      <c r="C2" s="38"/>
      <c r="D2" s="38"/>
      <c r="E2" s="38"/>
      <c r="F2" s="38"/>
      <c r="G2" s="38"/>
      <c r="H2" s="38"/>
      <c r="I2" s="38"/>
      <c r="J2" s="151"/>
      <c r="K2" s="119"/>
      <c r="L2" s="119"/>
      <c r="M2" s="119"/>
      <c r="N2" s="119"/>
      <c r="O2" s="76" t="s">
        <v>198</v>
      </c>
      <c r="P2" s="149"/>
      <c r="Q2" s="123" t="s">
        <v>240</v>
      </c>
    </row>
    <row r="3" spans="1:17" x14ac:dyDescent="0.3">
      <c r="A3" s="1" t="s">
        <v>134</v>
      </c>
      <c r="B3" s="9">
        <f>+'[3]Segmental forecast'!B3</f>
        <v>30601</v>
      </c>
      <c r="C3" s="9">
        <f>+'[3]Segmental forecast'!C3</f>
        <v>32376</v>
      </c>
      <c r="D3" s="9">
        <f>+'[3]Segmental forecast'!D3</f>
        <v>34350</v>
      </c>
      <c r="E3" s="9">
        <f>+'[3]Segmental forecast'!E3</f>
        <v>36397</v>
      </c>
      <c r="F3" s="9">
        <f>+'[3]Segmental forecast'!F3</f>
        <v>39117</v>
      </c>
      <c r="G3" s="9">
        <f>+'[3]Segmental forecast'!G3</f>
        <v>37403</v>
      </c>
      <c r="H3" s="9">
        <f>+'[3]Segmental forecast'!H3</f>
        <v>44538</v>
      </c>
      <c r="I3" s="9">
        <f>+'[3]Segmental forecast'!I3</f>
        <v>46710</v>
      </c>
      <c r="J3" s="108">
        <f>+'Segmental forecast'!J3</f>
        <v>48274.238941302261</v>
      </c>
      <c r="K3" s="39">
        <f>+'Segmental forecast'!K3</f>
        <v>51663.013343476596</v>
      </c>
      <c r="L3" s="39">
        <f>+'Segmental forecast'!L3</f>
        <v>55357.020675910935</v>
      </c>
      <c r="M3" s="39">
        <f>+'Segmental forecast'!M3</f>
        <v>59394.008083974339</v>
      </c>
      <c r="N3" s="39">
        <f>+'Segmental forecast'!N3</f>
        <v>63814.809831132094</v>
      </c>
      <c r="O3" s="96">
        <f>AVERAGE(C4:I4)</f>
        <v>6.4144253268830678E-2</v>
      </c>
      <c r="P3" s="67">
        <f>AVERAGE(C4:F4,I4)</f>
        <v>6.0413387914963847E-2</v>
      </c>
      <c r="Q3" s="123"/>
    </row>
    <row r="4" spans="1:17" x14ac:dyDescent="0.3">
      <c r="A4" s="40" t="s">
        <v>127</v>
      </c>
      <c r="B4" s="120" t="str">
        <f>+IFERROR(B3/A3-1,"nm")</f>
        <v>nm</v>
      </c>
      <c r="C4" s="81">
        <f>+IFERROR(C3/B3-1,"nm")</f>
        <v>5.8004640371229765E-2</v>
      </c>
      <c r="D4" s="81">
        <f t="shared" ref="D4:N4" si="2">+IFERROR(D3/C3-1,"nm")</f>
        <v>6.0971089696071123E-2</v>
      </c>
      <c r="E4" s="81">
        <f t="shared" si="2"/>
        <v>5.95924308588065E-2</v>
      </c>
      <c r="F4" s="81">
        <f t="shared" si="2"/>
        <v>7.4731433909388079E-2</v>
      </c>
      <c r="G4" s="81">
        <f t="shared" si="2"/>
        <v>-4.3817266150267153E-2</v>
      </c>
      <c r="H4" s="81">
        <f t="shared" si="2"/>
        <v>0.19076009945726269</v>
      </c>
      <c r="I4" s="81">
        <f t="shared" si="2"/>
        <v>4.8767344739323759E-2</v>
      </c>
      <c r="J4" s="82">
        <f t="shared" si="2"/>
        <v>3.3488309597565102E-2</v>
      </c>
      <c r="K4" s="81">
        <f t="shared" si="2"/>
        <v>7.0198401393646526E-2</v>
      </c>
      <c r="L4" s="81">
        <f t="shared" si="2"/>
        <v>7.1501971978968459E-2</v>
      </c>
      <c r="M4" s="81">
        <f t="shared" si="2"/>
        <v>7.2926385104755687E-2</v>
      </c>
      <c r="N4" s="81">
        <f t="shared" si="2"/>
        <v>7.4431780069588838E-2</v>
      </c>
      <c r="O4" s="121" t="s">
        <v>202</v>
      </c>
      <c r="P4" s="122" t="s">
        <v>203</v>
      </c>
      <c r="Q4" s="123" t="s">
        <v>225</v>
      </c>
    </row>
    <row r="5" spans="1:17" x14ac:dyDescent="0.3">
      <c r="A5" s="1" t="s">
        <v>147</v>
      </c>
      <c r="B5" s="9">
        <f>+'[3]Segmental forecast'!B5</f>
        <v>4839</v>
      </c>
      <c r="C5" s="9">
        <f>+'[3]Segmental forecast'!C5</f>
        <v>5291</v>
      </c>
      <c r="D5" s="9">
        <f>+'[3]Segmental forecast'!D5</f>
        <v>5651</v>
      </c>
      <c r="E5" s="9">
        <f>+'[3]Segmental forecast'!E5</f>
        <v>5126</v>
      </c>
      <c r="F5" s="9">
        <f>+'[3]Segmental forecast'!F5</f>
        <v>5555</v>
      </c>
      <c r="G5" s="9">
        <f>+'[3]Segmental forecast'!G5</f>
        <v>3697</v>
      </c>
      <c r="H5" s="9">
        <f>+'[3]Segmental forecast'!H5</f>
        <v>7667</v>
      </c>
      <c r="I5" s="9">
        <f>+'[3]Segmental forecast'!I5</f>
        <v>7573</v>
      </c>
      <c r="J5" s="108">
        <f>J3*$P$5</f>
        <v>7826.6069685823595</v>
      </c>
      <c r="K5" s="9">
        <f t="shared" ref="K5:N5" si="3">K3*$P$5</f>
        <v>8376.0222661132138</v>
      </c>
      <c r="L5" s="9">
        <f t="shared" si="3"/>
        <v>8974.9243754800573</v>
      </c>
      <c r="M5" s="9">
        <f t="shared" si="3"/>
        <v>9629.4331667723764</v>
      </c>
      <c r="N5" s="9">
        <f t="shared" si="3"/>
        <v>10346.169018436382</v>
      </c>
      <c r="O5" s="66">
        <f>_xlfn.RRI(8,B5,I5)</f>
        <v>5.7581978834384762E-2</v>
      </c>
      <c r="P5" s="111">
        <f t="shared" ref="P5:P16" si="4">I5/$I$3</f>
        <v>0.16212802397773496</v>
      </c>
      <c r="Q5" s="123" t="s">
        <v>241</v>
      </c>
    </row>
    <row r="6" spans="1:17" x14ac:dyDescent="0.3">
      <c r="A6" s="46" t="s">
        <v>130</v>
      </c>
      <c r="B6" s="47">
        <f>+'[3]Segmental forecast'!B8</f>
        <v>606</v>
      </c>
      <c r="C6" s="47">
        <f>+'[3]Segmental forecast'!C8</f>
        <v>649</v>
      </c>
      <c r="D6" s="47">
        <f>+'[3]Segmental forecast'!D8</f>
        <v>706</v>
      </c>
      <c r="E6" s="47">
        <f>+'[3]Segmental forecast'!E8</f>
        <v>747</v>
      </c>
      <c r="F6" s="47">
        <f>+'[3]Segmental forecast'!F8</f>
        <v>705</v>
      </c>
      <c r="G6" s="47">
        <f>+'[3]Segmental forecast'!G8</f>
        <v>721</v>
      </c>
      <c r="H6" s="47">
        <f>+'[3]Segmental forecast'!H8</f>
        <v>744</v>
      </c>
      <c r="I6" s="47">
        <f>+'[3]Segmental forecast'!I8</f>
        <v>717</v>
      </c>
      <c r="J6" s="152">
        <f>J3*$P$6</f>
        <v>741.01111798145405</v>
      </c>
      <c r="K6" s="124">
        <f t="shared" ref="K6:N6" si="5">J6*(1+$P$6)</f>
        <v>752.38566243858759</v>
      </c>
      <c r="L6" s="124">
        <f t="shared" si="5"/>
        <v>763.93480651840923</v>
      </c>
      <c r="M6" s="124">
        <f t="shared" si="5"/>
        <v>775.66123033073427</v>
      </c>
      <c r="N6" s="124">
        <f t="shared" si="5"/>
        <v>787.5676551251496</v>
      </c>
      <c r="O6" s="66">
        <f t="shared" ref="O6:O16" si="6">_xlfn.RRI(8,B6,I6)</f>
        <v>2.1247053314228381E-2</v>
      </c>
      <c r="P6" s="111">
        <f t="shared" si="4"/>
        <v>1.5350032113037893E-2</v>
      </c>
      <c r="Q6" s="123" t="s">
        <v>226</v>
      </c>
    </row>
    <row r="7" spans="1:17" x14ac:dyDescent="0.3">
      <c r="A7" s="4" t="s">
        <v>132</v>
      </c>
      <c r="B7" s="5">
        <f>+'[3]Segmental forecast'!B11</f>
        <v>4233</v>
      </c>
      <c r="C7" s="5">
        <f>+'[3]Segmental forecast'!C11</f>
        <v>4642</v>
      </c>
      <c r="D7" s="5">
        <f>+'[3]Segmental forecast'!D11</f>
        <v>4945</v>
      </c>
      <c r="E7" s="5">
        <f>+'[3]Segmental forecast'!E11</f>
        <v>4379</v>
      </c>
      <c r="F7" s="5">
        <f>+'[3]Segmental forecast'!F11</f>
        <v>4850</v>
      </c>
      <c r="G7" s="5">
        <f>+'[3]Segmental forecast'!G11</f>
        <v>2976</v>
      </c>
      <c r="H7" s="5">
        <f>+'[3]Segmental forecast'!H11</f>
        <v>6923</v>
      </c>
      <c r="I7" s="5">
        <f>+'[3]Segmental forecast'!I11</f>
        <v>6856</v>
      </c>
      <c r="J7" s="108">
        <f>J3*$P$7</f>
        <v>7085.5958506009056</v>
      </c>
      <c r="K7" s="9">
        <f t="shared" ref="K7:N7" si="7">K3*$P$7</f>
        <v>7582.9933522345436</v>
      </c>
      <c r="L7" s="9">
        <f t="shared" si="7"/>
        <v>8125.1923304227221</v>
      </c>
      <c r="M7" s="9">
        <f t="shared" si="7"/>
        <v>8717.7332353613365</v>
      </c>
      <c r="N7" s="9">
        <f t="shared" si="7"/>
        <v>9366.609638241096</v>
      </c>
      <c r="O7" s="66">
        <f t="shared" si="6"/>
        <v>6.2130346886679622E-2</v>
      </c>
      <c r="P7" s="111">
        <f t="shared" si="4"/>
        <v>0.14677799186469706</v>
      </c>
    </row>
    <row r="8" spans="1:17" x14ac:dyDescent="0.3">
      <c r="A8" s="40" t="s">
        <v>127</v>
      </c>
      <c r="B8" s="45" t="str">
        <f>+IFERROR(B7/A7-1,"nm")</f>
        <v>nm</v>
      </c>
      <c r="C8" s="45">
        <f t="shared" ref="C8:N8" si="8">+IFERROR(C7/B7-1,"nm")</f>
        <v>9.6621781242617555E-2</v>
      </c>
      <c r="D8" s="45">
        <f t="shared" si="8"/>
        <v>6.5273588970271357E-2</v>
      </c>
      <c r="E8" s="45">
        <f t="shared" si="8"/>
        <v>-0.11445904954499497</v>
      </c>
      <c r="F8" s="45">
        <f t="shared" si="8"/>
        <v>0.10755880337976698</v>
      </c>
      <c r="G8" s="45">
        <f t="shared" si="8"/>
        <v>-0.38639175257731961</v>
      </c>
      <c r="H8" s="45">
        <f t="shared" si="8"/>
        <v>1.32627688172043</v>
      </c>
      <c r="I8" s="45">
        <f t="shared" si="8"/>
        <v>-9.67788530983682E-3</v>
      </c>
      <c r="J8" s="153">
        <f t="shared" si="8"/>
        <v>3.348830959756488E-2</v>
      </c>
      <c r="K8" s="45">
        <f t="shared" si="8"/>
        <v>7.0198401393646526E-2</v>
      </c>
      <c r="L8" s="45">
        <f t="shared" si="8"/>
        <v>7.1501971978968459E-2</v>
      </c>
      <c r="M8" s="45">
        <f t="shared" si="8"/>
        <v>7.2926385104755687E-2</v>
      </c>
      <c r="N8" s="45">
        <f t="shared" si="8"/>
        <v>7.4431780069588838E-2</v>
      </c>
      <c r="O8" s="66"/>
      <c r="P8" s="111"/>
    </row>
    <row r="9" spans="1:17" x14ac:dyDescent="0.3">
      <c r="A9" s="40" t="s">
        <v>129</v>
      </c>
      <c r="B9" s="45">
        <f>B7/B3</f>
        <v>0.13832881278389594</v>
      </c>
      <c r="C9" s="45">
        <f t="shared" ref="C9:N9" si="9">C7/C3</f>
        <v>0.14337781072399308</v>
      </c>
      <c r="D9" s="45">
        <f t="shared" si="9"/>
        <v>0.14395924308588065</v>
      </c>
      <c r="E9" s="45">
        <f t="shared" si="9"/>
        <v>0.12031211363573921</v>
      </c>
      <c r="F9" s="45">
        <f t="shared" si="9"/>
        <v>0.12398701331901731</v>
      </c>
      <c r="G9" s="45">
        <f t="shared" si="9"/>
        <v>7.9565810229126011E-2</v>
      </c>
      <c r="H9" s="45">
        <f t="shared" si="9"/>
        <v>0.1554402981723472</v>
      </c>
      <c r="I9" s="45">
        <f t="shared" si="9"/>
        <v>0.14677799186469706</v>
      </c>
      <c r="J9" s="153">
        <f t="shared" si="9"/>
        <v>0.14677799186469706</v>
      </c>
      <c r="K9" s="45">
        <f t="shared" si="9"/>
        <v>0.14677799186469706</v>
      </c>
      <c r="L9" s="45">
        <f t="shared" si="9"/>
        <v>0.14677799186469706</v>
      </c>
      <c r="M9" s="45">
        <f t="shared" si="9"/>
        <v>0.14677799186469706</v>
      </c>
      <c r="N9" s="45">
        <f t="shared" si="9"/>
        <v>0.14677799186469706</v>
      </c>
      <c r="O9" s="66"/>
      <c r="P9" s="111"/>
    </row>
    <row r="10" spans="1:17" x14ac:dyDescent="0.3">
      <c r="A10" s="2" t="s">
        <v>24</v>
      </c>
      <c r="B10" s="3">
        <f>+[3]Historicals!B8</f>
        <v>28</v>
      </c>
      <c r="C10" s="3">
        <f>+[3]Historicals!C8</f>
        <v>19</v>
      </c>
      <c r="D10" s="3">
        <f>+[3]Historicals!D8</f>
        <v>59</v>
      </c>
      <c r="E10" s="3">
        <f>+[3]Historicals!E8</f>
        <v>54</v>
      </c>
      <c r="F10" s="3">
        <f>+[3]Historicals!F8</f>
        <v>49</v>
      </c>
      <c r="G10" s="3">
        <f>+[3]Historicals!G8</f>
        <v>89</v>
      </c>
      <c r="H10" s="3">
        <f>+[3]Historicals!H8</f>
        <v>262</v>
      </c>
      <c r="I10" s="3">
        <f>+[3]Historicals!I8</f>
        <v>205</v>
      </c>
      <c r="J10" s="154">
        <f>J3*$P$10</f>
        <v>211.86510346750083</v>
      </c>
      <c r="K10" s="47">
        <f t="shared" ref="K10:N10" si="10">K3*$P$10</f>
        <v>226.73769504201888</v>
      </c>
      <c r="L10" s="47">
        <f t="shared" si="10"/>
        <v>242.94988735948922</v>
      </c>
      <c r="M10" s="47">
        <f t="shared" si="10"/>
        <v>260.66734440622434</v>
      </c>
      <c r="N10" s="47">
        <f t="shared" si="10"/>
        <v>280.0692788563922</v>
      </c>
      <c r="O10" s="66">
        <f t="shared" si="6"/>
        <v>0.28255051297237288</v>
      </c>
      <c r="P10" s="111">
        <f>I10/$I3</f>
        <v>4.3887818454292444E-3</v>
      </c>
    </row>
    <row r="11" spans="1:17" x14ac:dyDescent="0.3">
      <c r="A11" s="40" t="s">
        <v>127</v>
      </c>
      <c r="B11" s="49" t="str">
        <f>+IFERROR(B10/A10-1,"nm")</f>
        <v>nm</v>
      </c>
      <c r="C11" s="49">
        <f t="shared" ref="C11:N11" si="11">+IFERROR(C10/B10-1,"nm")</f>
        <v>-0.3214285714285714</v>
      </c>
      <c r="D11" s="49">
        <f t="shared" si="11"/>
        <v>2.1052631578947367</v>
      </c>
      <c r="E11" s="49">
        <f t="shared" si="11"/>
        <v>-8.4745762711864403E-2</v>
      </c>
      <c r="F11" s="49">
        <f t="shared" si="11"/>
        <v>-9.259259259259256E-2</v>
      </c>
      <c r="G11" s="49">
        <f t="shared" si="11"/>
        <v>0.81632653061224492</v>
      </c>
      <c r="H11" s="49">
        <f t="shared" si="11"/>
        <v>1.9438202247191012</v>
      </c>
      <c r="I11" s="49">
        <f t="shared" si="11"/>
        <v>-0.21755725190839692</v>
      </c>
      <c r="J11" s="155">
        <f t="shared" si="11"/>
        <v>3.3488309597565102E-2</v>
      </c>
      <c r="K11" s="125">
        <f t="shared" si="11"/>
        <v>7.0198401393646526E-2</v>
      </c>
      <c r="L11" s="125">
        <f t="shared" si="11"/>
        <v>7.1501971978968459E-2</v>
      </c>
      <c r="M11" s="125">
        <f t="shared" si="11"/>
        <v>7.2926385104755687E-2</v>
      </c>
      <c r="N11" s="125">
        <f t="shared" si="11"/>
        <v>7.4431780069588838E-2</v>
      </c>
      <c r="O11" s="66"/>
      <c r="P11" s="111"/>
    </row>
    <row r="12" spans="1:17" x14ac:dyDescent="0.3">
      <c r="A12" s="4" t="s">
        <v>204</v>
      </c>
      <c r="B12" s="5">
        <f>+[3]Historicals!B10</f>
        <v>4205</v>
      </c>
      <c r="C12" s="5">
        <f>+[3]Historicals!C10</f>
        <v>4623</v>
      </c>
      <c r="D12" s="5">
        <f>+[3]Historicals!D10</f>
        <v>4886</v>
      </c>
      <c r="E12" s="5">
        <f>+[3]Historicals!E10</f>
        <v>4325</v>
      </c>
      <c r="F12" s="5">
        <f>+[3]Historicals!F10</f>
        <v>4801</v>
      </c>
      <c r="G12" s="5">
        <f>+[3]Historicals!G10</f>
        <v>2887</v>
      </c>
      <c r="H12" s="5">
        <f>+[3]Historicals!H10</f>
        <v>6661</v>
      </c>
      <c r="I12" s="5">
        <f>+[3]Historicals!I10</f>
        <v>6651</v>
      </c>
      <c r="J12" s="108">
        <f>J3*$P$12</f>
        <v>6873.7307471334052</v>
      </c>
      <c r="K12" s="9">
        <f t="shared" ref="K12:N12" si="12">K3*$P$12</f>
        <v>7356.2556571925252</v>
      </c>
      <c r="L12" s="9">
        <f t="shared" si="12"/>
        <v>7882.2424430632336</v>
      </c>
      <c r="M12" s="9">
        <f t="shared" si="12"/>
        <v>8457.065890955113</v>
      </c>
      <c r="N12" s="9">
        <f t="shared" si="12"/>
        <v>9086.5403593847041</v>
      </c>
      <c r="O12" s="66">
        <f t="shared" si="6"/>
        <v>5.8985755609010981E-2</v>
      </c>
      <c r="P12" s="111">
        <f>I12/$I3</f>
        <v>0.14238921001926783</v>
      </c>
    </row>
    <row r="13" spans="1:17" x14ac:dyDescent="0.3">
      <c r="A13" s="40" t="s">
        <v>127</v>
      </c>
      <c r="B13" s="45" t="str">
        <f>+IFERROR(B12/A12-1,"nm")</f>
        <v>nm</v>
      </c>
      <c r="C13" s="45">
        <f t="shared" ref="C13:N13" si="13">+IFERROR(C12/B12-1,"nm")</f>
        <v>9.9405469678953695E-2</v>
      </c>
      <c r="D13" s="45">
        <f t="shared" si="13"/>
        <v>5.688946571490372E-2</v>
      </c>
      <c r="E13" s="45">
        <f t="shared" si="13"/>
        <v>-0.11481784690953745</v>
      </c>
      <c r="F13" s="45">
        <f t="shared" si="13"/>
        <v>0.11005780346820804</v>
      </c>
      <c r="G13" s="45">
        <f t="shared" si="13"/>
        <v>-0.39866694438658612</v>
      </c>
      <c r="H13" s="45">
        <f t="shared" si="13"/>
        <v>1.307239348804988</v>
      </c>
      <c r="I13" s="45">
        <f t="shared" si="13"/>
        <v>-1.5012760846719875E-3</v>
      </c>
      <c r="J13" s="153">
        <f t="shared" si="13"/>
        <v>3.3488309597565102E-2</v>
      </c>
      <c r="K13" s="45">
        <f t="shared" si="13"/>
        <v>7.0198401393646526E-2</v>
      </c>
      <c r="L13" s="45">
        <f t="shared" si="13"/>
        <v>7.1501971978968459E-2</v>
      </c>
      <c r="M13" s="45">
        <f t="shared" si="13"/>
        <v>7.2926385104755687E-2</v>
      </c>
      <c r="N13" s="45">
        <f t="shared" si="13"/>
        <v>7.4431780069588616E-2</v>
      </c>
      <c r="O13" s="66"/>
      <c r="P13" s="111"/>
    </row>
    <row r="14" spans="1:17" x14ac:dyDescent="0.3">
      <c r="A14" t="s">
        <v>26</v>
      </c>
      <c r="B14" s="3">
        <f>+[3]Historicals!B11</f>
        <v>932</v>
      </c>
      <c r="C14" s="3">
        <f>+[3]Historicals!C11</f>
        <v>863</v>
      </c>
      <c r="D14" s="3">
        <f>+[3]Historicals!D11</f>
        <v>646</v>
      </c>
      <c r="E14" s="3">
        <f>+[3]Historicals!E11</f>
        <v>2392</v>
      </c>
      <c r="F14" s="3">
        <f>+[3]Historicals!F11</f>
        <v>772</v>
      </c>
      <c r="G14" s="3">
        <f>+[3]Historicals!G11</f>
        <v>348</v>
      </c>
      <c r="H14" s="3">
        <f>+[3]Historicals!H11</f>
        <v>934</v>
      </c>
      <c r="I14" s="3">
        <f>+[3]Historicals!I11</f>
        <v>605</v>
      </c>
      <c r="J14" s="154">
        <f>J3*$P$14</f>
        <v>625.26042730652682</v>
      </c>
      <c r="K14" s="47">
        <f t="shared" ref="K14:N14" si="14">K3*$P$14</f>
        <v>669.15270975815338</v>
      </c>
      <c r="L14" s="47">
        <f t="shared" si="14"/>
        <v>716.99844806093165</v>
      </c>
      <c r="M14" s="47">
        <f t="shared" si="14"/>
        <v>769.28655300373532</v>
      </c>
      <c r="N14" s="47">
        <f t="shared" si="14"/>
        <v>826.54592052740134</v>
      </c>
      <c r="O14" s="66">
        <f t="shared" si="6"/>
        <v>-5.2580252273248584E-2</v>
      </c>
      <c r="P14" s="111">
        <f>I14/$I$3</f>
        <v>1.2952258616998502E-2</v>
      </c>
    </row>
    <row r="15" spans="1:17" x14ac:dyDescent="0.3">
      <c r="A15" s="48" t="s">
        <v>148</v>
      </c>
      <c r="B15" s="49">
        <f>B14/B12</f>
        <v>0.22164090368608799</v>
      </c>
      <c r="C15" s="49">
        <f t="shared" ref="C15:N15" si="15">C14/C12</f>
        <v>0.18667531905688947</v>
      </c>
      <c r="D15" s="49">
        <f t="shared" si="15"/>
        <v>0.13221449038067951</v>
      </c>
      <c r="E15" s="49">
        <f t="shared" si="15"/>
        <v>0.55306358381502885</v>
      </c>
      <c r="F15" s="49">
        <f t="shared" si="15"/>
        <v>0.16079983336804832</v>
      </c>
      <c r="G15" s="49">
        <f t="shared" si="15"/>
        <v>0.12054035330793211</v>
      </c>
      <c r="H15" s="49">
        <f t="shared" si="15"/>
        <v>0.14021918630836211</v>
      </c>
      <c r="I15" s="49">
        <f t="shared" si="15"/>
        <v>9.0963764847391368E-2</v>
      </c>
      <c r="J15" s="153">
        <f t="shared" si="15"/>
        <v>9.0963764847391368E-2</v>
      </c>
      <c r="K15" s="49">
        <f t="shared" si="15"/>
        <v>9.0963764847391382E-2</v>
      </c>
      <c r="L15" s="49">
        <f t="shared" si="15"/>
        <v>9.0963764847391368E-2</v>
      </c>
      <c r="M15" s="49">
        <f t="shared" si="15"/>
        <v>9.0963764847391368E-2</v>
      </c>
      <c r="N15" s="49">
        <f t="shared" si="15"/>
        <v>9.0963764847391382E-2</v>
      </c>
      <c r="O15" s="66"/>
      <c r="P15" s="111"/>
    </row>
    <row r="16" spans="1:17" ht="15" thickBot="1" x14ac:dyDescent="0.35">
      <c r="A16" s="6" t="s">
        <v>149</v>
      </c>
      <c r="B16" s="7">
        <f>+[3]Historicals!B12</f>
        <v>3273</v>
      </c>
      <c r="C16" s="7">
        <f>+[3]Historicals!C12</f>
        <v>3760</v>
      </c>
      <c r="D16" s="7">
        <f>+[3]Historicals!D12</f>
        <v>4240</v>
      </c>
      <c r="E16" s="7">
        <f>+[3]Historicals!E12</f>
        <v>1933</v>
      </c>
      <c r="F16" s="7">
        <f>+[3]Historicals!F12</f>
        <v>4029</v>
      </c>
      <c r="G16" s="7">
        <f>+[3]Historicals!G12</f>
        <v>2539</v>
      </c>
      <c r="H16" s="7">
        <f>+[3]Historicals!H12</f>
        <v>5727</v>
      </c>
      <c r="I16" s="7">
        <f>+[3]Historicals!I12</f>
        <v>6046</v>
      </c>
      <c r="J16" s="156">
        <f>J3*$P$16</f>
        <v>6248.470319826878</v>
      </c>
      <c r="K16" s="7">
        <f t="shared" ref="K16:N16" si="16">K3*$P$16</f>
        <v>6687.1029474343713</v>
      </c>
      <c r="L16" s="7">
        <f t="shared" si="16"/>
        <v>7165.2439950023017</v>
      </c>
      <c r="M16" s="7">
        <f t="shared" si="16"/>
        <v>7687.7793379513778</v>
      </c>
      <c r="N16" s="7">
        <f t="shared" si="16"/>
        <v>8259.994438857304</v>
      </c>
      <c r="O16" s="66">
        <f t="shared" si="6"/>
        <v>7.9730245880310191E-2</v>
      </c>
      <c r="P16" s="111">
        <f t="shared" si="4"/>
        <v>0.12943695140226932</v>
      </c>
    </row>
    <row r="17" spans="1:22" ht="15" thickTop="1" x14ac:dyDescent="0.3">
      <c r="A17" t="s">
        <v>150</v>
      </c>
      <c r="B17" s="3">
        <f>+[3]Historicals!B18</f>
        <v>884.4</v>
      </c>
      <c r="C17" s="3">
        <f>+[3]Historicals!C18</f>
        <v>1742.5</v>
      </c>
      <c r="D17" s="3">
        <f>+[3]Historicals!D18</f>
        <v>1692</v>
      </c>
      <c r="E17" s="3">
        <f>+[3]Historicals!E18</f>
        <v>1659.1</v>
      </c>
      <c r="F17" s="3">
        <f>+[3]Historicals!F18</f>
        <v>1618.4</v>
      </c>
      <c r="G17" s="3">
        <f>+[3]Historicals!G18</f>
        <v>1591.6</v>
      </c>
      <c r="H17" s="3">
        <f>+[3]Historicals!H18</f>
        <v>1609.4</v>
      </c>
      <c r="I17" s="3">
        <f>+[3]Historicals!I18</f>
        <v>1610.8</v>
      </c>
      <c r="J17" s="154">
        <f>I17*(1+$P$18)</f>
        <v>1612.2</v>
      </c>
      <c r="K17" s="47">
        <f t="shared" ref="K17:N17" si="17">J17*(1+$P$18)</f>
        <v>1613.60121678669</v>
      </c>
      <c r="L17" s="47">
        <f t="shared" si="17"/>
        <v>1615.0036514176195</v>
      </c>
      <c r="M17" s="47">
        <f t="shared" si="17"/>
        <v>1616.4073049512579</v>
      </c>
      <c r="N17" s="47">
        <f t="shared" si="17"/>
        <v>1617.812178446994</v>
      </c>
      <c r="O17" s="126"/>
      <c r="P17" s="127"/>
      <c r="Q17" s="52"/>
    </row>
    <row r="18" spans="1:22" x14ac:dyDescent="0.3">
      <c r="A18" t="s">
        <v>205</v>
      </c>
      <c r="B18" s="54">
        <f>+[3]Historicals!B15</f>
        <v>3.7008141112618724</v>
      </c>
      <c r="C18" s="54">
        <f>+[3]Historicals!C15</f>
        <v>2.1578192252510759</v>
      </c>
      <c r="D18" s="54">
        <f>+[3]Historicals!D15</f>
        <v>2.5059101654846336</v>
      </c>
      <c r="E18" s="54">
        <f>+[3]Historicals!E15</f>
        <v>1.1650895063588693</v>
      </c>
      <c r="F18" s="54">
        <f>+[3]Historicals!F15</f>
        <v>2.4894957983193278</v>
      </c>
      <c r="G18" s="54">
        <f>+[3]Historicals!G15</f>
        <v>1.5952500628298569</v>
      </c>
      <c r="H18" s="54">
        <f>+[3]Historicals!H15</f>
        <v>3.56</v>
      </c>
      <c r="I18" s="54">
        <f>+[3]Historicals!I15</f>
        <v>3.75</v>
      </c>
      <c r="J18" s="157">
        <f>I18*(1+$P$19)</f>
        <v>4.0495737912498164</v>
      </c>
      <c r="K18" s="54">
        <f t="shared" ref="K18:N18" si="18">J18*(1+$P$19)</f>
        <v>4.3730794375406434</v>
      </c>
      <c r="L18" s="54">
        <f t="shared" si="18"/>
        <v>4.7224287672848213</v>
      </c>
      <c r="M18" s="54">
        <f t="shared" si="18"/>
        <v>5.0996863378775448</v>
      </c>
      <c r="N18" s="54">
        <f t="shared" si="18"/>
        <v>5.5070816366569764</v>
      </c>
      <c r="O18" s="128">
        <f>(I17-B17)/I17</f>
        <v>0.4509560466848771</v>
      </c>
      <c r="P18" s="129">
        <f>(I17-H17)/I17</f>
        <v>8.6913334988816967E-4</v>
      </c>
    </row>
    <row r="19" spans="1:22" x14ac:dyDescent="0.3">
      <c r="A19" s="48" t="s">
        <v>127</v>
      </c>
      <c r="B19" s="49" t="str">
        <f>+IFERROR(B18/A18-1,"nm")</f>
        <v>nm</v>
      </c>
      <c r="C19" s="49">
        <f t="shared" ref="C19:N19" si="19">+IFERROR(C18/B18-1,"nm")</f>
        <v>-0.41693390687074505</v>
      </c>
      <c r="D19" s="49">
        <f t="shared" si="19"/>
        <v>0.16131608068004644</v>
      </c>
      <c r="E19" s="49">
        <f t="shared" si="19"/>
        <v>-0.53506333850018706</v>
      </c>
      <c r="F19" s="49">
        <f t="shared" si="19"/>
        <v>1.1367420998404536</v>
      </c>
      <c r="G19" s="49">
        <f t="shared" si="19"/>
        <v>-0.35920756969872414</v>
      </c>
      <c r="H19" s="49">
        <f t="shared" si="19"/>
        <v>1.2316250492319809</v>
      </c>
      <c r="I19" s="49">
        <f t="shared" si="19"/>
        <v>5.3370786516854007E-2</v>
      </c>
      <c r="J19" s="153">
        <f t="shared" si="19"/>
        <v>7.9886344333284454E-2</v>
      </c>
      <c r="K19" s="49">
        <f t="shared" si="19"/>
        <v>7.9886344333284454E-2</v>
      </c>
      <c r="L19" s="49">
        <f t="shared" si="19"/>
        <v>7.9886344333284454E-2</v>
      </c>
      <c r="M19" s="49">
        <f t="shared" si="19"/>
        <v>7.9886344333284454E-2</v>
      </c>
      <c r="N19" s="49">
        <f t="shared" si="19"/>
        <v>7.9886344333284454E-2</v>
      </c>
      <c r="O19" s="96">
        <f>AVERAGE(C19:I19)</f>
        <v>0.18169274302852553</v>
      </c>
      <c r="P19" s="67">
        <f>AVERAGE(C19:F19,I19)</f>
        <v>7.9886344333284384E-2</v>
      </c>
    </row>
    <row r="20" spans="1:22" x14ac:dyDescent="0.3">
      <c r="A20" t="s">
        <v>151</v>
      </c>
      <c r="B20" s="54">
        <f>-[3]Historicals!B95/[3]Historicals!B18</f>
        <v>1.016508367254636</v>
      </c>
      <c r="C20" s="54">
        <f>-[3]Historicals!C95/[3]Historicals!C18</f>
        <v>1.8582496413199425</v>
      </c>
      <c r="D20" s="54">
        <f>-[3]Historicals!D95/[3]Historicals!D18</f>
        <v>0.66962174940898345</v>
      </c>
      <c r="E20" s="54">
        <f>-[3]Historicals!E95/[3]Historicals!E18</f>
        <v>0.74920137423904531</v>
      </c>
      <c r="F20" s="54">
        <f>-[3]Historicals!F95/[3]Historicals!F18</f>
        <v>0.82303509639149774</v>
      </c>
      <c r="G20" s="54">
        <f>-[3]Historicals!G95/[3]Historicals!G18</f>
        <v>0.91228951997989449</v>
      </c>
      <c r="H20" s="54">
        <f>-[3]Historicals!H95/[3]Historicals!H18</f>
        <v>1.0177705977382876</v>
      </c>
      <c r="I20" s="54">
        <f>-[3]Historicals!I95/[3]Historicals!I18</f>
        <v>1.1404271169605165</v>
      </c>
      <c r="J20" s="157">
        <f>I20*(1+$P$21)</f>
        <v>1.2604751868424837</v>
      </c>
      <c r="K20" s="54">
        <f t="shared" ref="K20:N20" si="20">J20*(1+$P$21)</f>
        <v>1.3931602230575522</v>
      </c>
      <c r="L20" s="54">
        <f t="shared" si="20"/>
        <v>1.5398124670520104</v>
      </c>
      <c r="M20" s="54">
        <f t="shared" si="20"/>
        <v>1.701902189315414</v>
      </c>
      <c r="N20" s="54">
        <f t="shared" si="20"/>
        <v>1.8810544296617682</v>
      </c>
      <c r="O20" s="96"/>
      <c r="P20" s="67"/>
    </row>
    <row r="21" spans="1:22" x14ac:dyDescent="0.3">
      <c r="A21" s="48" t="s">
        <v>127</v>
      </c>
      <c r="B21" s="49" t="str">
        <f>+IFERROR(B20/A20-1,"nm")</f>
        <v>nm</v>
      </c>
      <c r="C21" s="49">
        <f t="shared" ref="C21:N21" si="21">+IFERROR(C20/B20-1,"nm")</f>
        <v>0.8280711710604638</v>
      </c>
      <c r="D21" s="49">
        <f t="shared" si="21"/>
        <v>-0.63964919754627747</v>
      </c>
      <c r="E21" s="49">
        <f t="shared" si="21"/>
        <v>0.11884265243818604</v>
      </c>
      <c r="F21" s="49">
        <f t="shared" si="21"/>
        <v>9.8549902190775418E-2</v>
      </c>
      <c r="G21" s="49">
        <f t="shared" si="21"/>
        <v>0.10844546481641237</v>
      </c>
      <c r="H21" s="49">
        <f t="shared" si="21"/>
        <v>0.11562237146023313</v>
      </c>
      <c r="I21" s="49">
        <f t="shared" si="21"/>
        <v>0.12051489745803123</v>
      </c>
      <c r="J21" s="153">
        <f t="shared" si="21"/>
        <v>0.10526588512023571</v>
      </c>
      <c r="K21" s="49">
        <f t="shared" si="21"/>
        <v>0.10526588512023571</v>
      </c>
      <c r="L21" s="49">
        <f t="shared" si="21"/>
        <v>0.10526588512023571</v>
      </c>
      <c r="M21" s="49">
        <f t="shared" si="21"/>
        <v>0.10526588512023571</v>
      </c>
      <c r="N21" s="49">
        <f t="shared" si="21"/>
        <v>0.10526588512023571</v>
      </c>
      <c r="O21" s="96">
        <f t="shared" ref="O21" si="22">AVERAGE(C21:I21)</f>
        <v>0.10719960883968922</v>
      </c>
      <c r="P21" s="67">
        <f t="shared" ref="P21" si="23">AVERAGE(C21:F21,I21)</f>
        <v>0.1052658851202358</v>
      </c>
    </row>
    <row r="22" spans="1:22" x14ac:dyDescent="0.3">
      <c r="A22" s="48" t="s">
        <v>152</v>
      </c>
      <c r="B22" s="49">
        <f>B20/B18</f>
        <v>0.27467155514818214</v>
      </c>
      <c r="C22" s="49">
        <f t="shared" ref="C22:N22" si="24">C20/C18</f>
        <v>0.8611702127659574</v>
      </c>
      <c r="D22" s="49">
        <f t="shared" si="24"/>
        <v>0.26721698113207548</v>
      </c>
      <c r="E22" s="49">
        <f t="shared" si="24"/>
        <v>0.64304190377651316</v>
      </c>
      <c r="F22" s="49">
        <f t="shared" si="24"/>
        <v>0.33060312732688008</v>
      </c>
      <c r="G22" s="49">
        <f t="shared" si="24"/>
        <v>0.57187869239858213</v>
      </c>
      <c r="H22" s="49">
        <f t="shared" si="24"/>
        <v>0.2858906173422156</v>
      </c>
      <c r="I22" s="49">
        <f t="shared" si="24"/>
        <v>0.30411389785613774</v>
      </c>
      <c r="J22" s="153">
        <f t="shared" si="24"/>
        <v>0.3112611973057699</v>
      </c>
      <c r="K22" s="49">
        <f t="shared" si="24"/>
        <v>0.31857647293071933</v>
      </c>
      <c r="L22" s="49">
        <f t="shared" si="24"/>
        <v>0.32606367251513496</v>
      </c>
      <c r="M22" s="49">
        <f t="shared" si="24"/>
        <v>0.3337268366241784</v>
      </c>
      <c r="N22" s="49">
        <f t="shared" si="24"/>
        <v>0.34157010078456818</v>
      </c>
      <c r="O22" s="96"/>
      <c r="P22" s="67"/>
    </row>
    <row r="23" spans="1:22" x14ac:dyDescent="0.3">
      <c r="A23" s="50" t="s">
        <v>153</v>
      </c>
      <c r="B23" s="38"/>
      <c r="C23" s="38"/>
      <c r="D23" s="38"/>
      <c r="E23" s="38"/>
      <c r="F23" s="38"/>
      <c r="G23" s="38"/>
      <c r="H23" s="38"/>
      <c r="I23" s="38"/>
      <c r="J23" s="151"/>
      <c r="K23" s="119"/>
      <c r="L23" s="119"/>
      <c r="M23" s="119"/>
      <c r="N23" s="119"/>
      <c r="O23" s="121"/>
      <c r="P23" s="122"/>
    </row>
    <row r="24" spans="1:22" x14ac:dyDescent="0.3">
      <c r="A24" s="123" t="s">
        <v>206</v>
      </c>
      <c r="J24" s="158"/>
      <c r="O24" s="109"/>
    </row>
    <row r="25" spans="1:22" x14ac:dyDescent="0.3">
      <c r="A25" t="s">
        <v>154</v>
      </c>
      <c r="B25" s="3">
        <f>+[3]Historicals!B27</f>
        <v>3852</v>
      </c>
      <c r="C25" s="3">
        <f>+[3]Historicals!C27</f>
        <v>3138</v>
      </c>
      <c r="D25" s="3">
        <f>+[3]Historicals!D27</f>
        <v>3808</v>
      </c>
      <c r="E25" s="3">
        <f>+[3]Historicals!E27</f>
        <v>4249</v>
      </c>
      <c r="F25" s="3">
        <f>+[3]Historicals!F27</f>
        <v>4466</v>
      </c>
      <c r="G25" s="3">
        <f>+[3]Historicals!G27</f>
        <v>8348</v>
      </c>
      <c r="H25" s="3">
        <f>+[3]Historicals!H27</f>
        <v>9889</v>
      </c>
      <c r="I25" s="3">
        <f>+[3]Historicals!I27</f>
        <v>8574</v>
      </c>
      <c r="J25" s="159">
        <f>J76</f>
        <v>6658.3933650781</v>
      </c>
      <c r="K25" s="3">
        <f t="shared" ref="K25:N25" si="25">K76</f>
        <v>6819.1797599395577</v>
      </c>
      <c r="L25" s="3">
        <f t="shared" si="25"/>
        <v>4062.9646710799675</v>
      </c>
      <c r="M25" s="3">
        <f t="shared" si="25"/>
        <v>1397.4543196376871</v>
      </c>
      <c r="N25" s="3">
        <f t="shared" si="25"/>
        <v>-168.72759177800344</v>
      </c>
      <c r="O25" s="66"/>
      <c r="P25" s="111"/>
      <c r="Q25" s="123" t="s">
        <v>242</v>
      </c>
    </row>
    <row r="26" spans="1:22" x14ac:dyDescent="0.3">
      <c r="A26" s="130" t="s">
        <v>155</v>
      </c>
      <c r="B26" s="3">
        <f>+[3]Historicals!B23</f>
        <v>5564</v>
      </c>
      <c r="C26" s="3">
        <f>+[3]Historicals!C23</f>
        <v>5888</v>
      </c>
      <c r="D26" s="3">
        <f>+[3]Historicals!D23</f>
        <v>6684</v>
      </c>
      <c r="E26" s="3">
        <f>+[3]Historicals!E23</f>
        <v>6480</v>
      </c>
      <c r="F26" s="3">
        <f>+[3]Historicals!F23</f>
        <v>7282</v>
      </c>
      <c r="G26" s="3">
        <f>+[3]Historicals!G23</f>
        <v>7868</v>
      </c>
      <c r="H26" s="3">
        <f>+[3]Historicals!H23</f>
        <v>8481</v>
      </c>
      <c r="I26" s="3">
        <f>+[3]Historicals!I23</f>
        <v>9729</v>
      </c>
      <c r="J26" s="159">
        <f>$P$26*J3</f>
        <v>10054.807764074711</v>
      </c>
      <c r="K26" s="3">
        <f t="shared" ref="K26:N26" si="26">$P$26*K3</f>
        <v>10760.639195433179</v>
      </c>
      <c r="L26" s="3">
        <f t="shared" si="26"/>
        <v>11530.046117660833</v>
      </c>
      <c r="M26" s="3">
        <f t="shared" si="26"/>
        <v>12370.89070111296</v>
      </c>
      <c r="N26" s="3">
        <f t="shared" si="26"/>
        <v>13291.67811704312</v>
      </c>
      <c r="O26" s="66">
        <f t="shared" ref="O26:O51" si="27">_xlfn.RRI(8,B26,I26)</f>
        <v>7.2346491644010191E-2</v>
      </c>
      <c r="P26" s="111">
        <f t="shared" ref="P26:P51" si="28">I26/$I$3</f>
        <v>0.20828516377649325</v>
      </c>
    </row>
    <row r="27" spans="1:22" x14ac:dyDescent="0.3">
      <c r="A27" s="48" t="s">
        <v>156</v>
      </c>
      <c r="B27" s="49">
        <f t="shared" ref="B27:I27" si="29">B26/B3</f>
        <v>0.18182412339466031</v>
      </c>
      <c r="C27" s="49">
        <f t="shared" si="29"/>
        <v>0.1818631084754139</v>
      </c>
      <c r="D27" s="49">
        <f t="shared" si="29"/>
        <v>0.19458515283842795</v>
      </c>
      <c r="E27" s="49">
        <f t="shared" si="29"/>
        <v>0.17803665137236585</v>
      </c>
      <c r="F27" s="49">
        <f t="shared" si="29"/>
        <v>0.18615947030702765</v>
      </c>
      <c r="G27" s="49">
        <f t="shared" si="29"/>
        <v>0.21035745795791783</v>
      </c>
      <c r="H27" s="49">
        <f t="shared" si="29"/>
        <v>0.19042166240064665</v>
      </c>
      <c r="I27" s="49">
        <f t="shared" si="29"/>
        <v>0.20828516377649325</v>
      </c>
      <c r="J27" s="153">
        <f>J26/J3</f>
        <v>0.20828516377649328</v>
      </c>
      <c r="K27" s="49">
        <f t="shared" ref="K27:N27" si="30">K26/K3</f>
        <v>0.20828516377649325</v>
      </c>
      <c r="L27" s="49">
        <f t="shared" si="30"/>
        <v>0.20828516377649328</v>
      </c>
      <c r="M27" s="49">
        <f t="shared" si="30"/>
        <v>0.20828516377649325</v>
      </c>
      <c r="N27" s="49">
        <f t="shared" si="30"/>
        <v>0.20828516377649325</v>
      </c>
      <c r="O27" s="66"/>
      <c r="P27" s="111"/>
      <c r="U27" s="133"/>
      <c r="V27" s="133"/>
    </row>
    <row r="28" spans="1:22" x14ac:dyDescent="0.3">
      <c r="A28" t="s">
        <v>208</v>
      </c>
      <c r="B28" s="102">
        <f>+[3]Historicals!B29</f>
        <v>3358</v>
      </c>
      <c r="C28" s="102">
        <f>+[3]Historicals!C29</f>
        <v>3241</v>
      </c>
      <c r="D28" s="102">
        <f>+[3]Historicals!D29</f>
        <v>3677</v>
      </c>
      <c r="E28" s="102">
        <f>+[3]Historicals!E29</f>
        <v>3498</v>
      </c>
      <c r="F28" s="102">
        <f>+[3]Historicals!F29</f>
        <v>4272</v>
      </c>
      <c r="G28" s="102">
        <f>+[3]Historicals!G29</f>
        <v>2749</v>
      </c>
      <c r="H28" s="102">
        <f>+[3]Historicals!H29</f>
        <v>4463</v>
      </c>
      <c r="I28" s="102">
        <f>+[3]Historicals!I29</f>
        <v>4667</v>
      </c>
      <c r="J28" s="159">
        <f>($S$28*J3)/182.5-I28</f>
        <v>4979.579881783673</v>
      </c>
      <c r="K28" s="3">
        <f>($S$28*K3)/182.5-J28</f>
        <v>5344.1744866173249</v>
      </c>
      <c r="L28" s="3">
        <f>($S$28*L3)/182.5-K28</f>
        <v>5717.7486773508335</v>
      </c>
      <c r="M28" s="3">
        <f>($S$28*M3)/182.5-L28</f>
        <v>6150.8805552720842</v>
      </c>
      <c r="N28" s="3">
        <f>($S$28*N3)/182.5-M28</f>
        <v>6601.1518781209161</v>
      </c>
      <c r="O28" s="66">
        <f t="shared" si="27"/>
        <v>4.200460586677579E-2</v>
      </c>
      <c r="P28" s="111">
        <f t="shared" si="28"/>
        <v>9.9914365232284308E-2</v>
      </c>
      <c r="Q28" s="123" t="s">
        <v>237</v>
      </c>
      <c r="R28" s="131" t="s">
        <v>207</v>
      </c>
      <c r="S28" s="132">
        <f>(I28/I3)*365</f>
        <v>36.468743309783775</v>
      </c>
    </row>
    <row r="29" spans="1:22" x14ac:dyDescent="0.3">
      <c r="A29" t="s">
        <v>35</v>
      </c>
      <c r="B29" s="102">
        <f>+[3]Historicals!B30</f>
        <v>4337</v>
      </c>
      <c r="C29" s="102">
        <f>+[3]Historicals!C30</f>
        <v>4838</v>
      </c>
      <c r="D29" s="102">
        <f>+[3]Historicals!D30</f>
        <v>5055</v>
      </c>
      <c r="E29" s="102">
        <f>+[3]Historicals!E30</f>
        <v>5261</v>
      </c>
      <c r="F29" s="102">
        <f>+[3]Historicals!F30</f>
        <v>5622</v>
      </c>
      <c r="G29" s="102">
        <f>+[3]Historicals!G30</f>
        <v>7367</v>
      </c>
      <c r="H29" s="102">
        <f>+[3]Historicals!H30</f>
        <v>6854</v>
      </c>
      <c r="I29" s="102">
        <f>+[3]Historicals!I30</f>
        <v>8420</v>
      </c>
      <c r="J29" s="159">
        <f>($S$29*J3)/182.5-I29</f>
        <v>8983.9431336229936</v>
      </c>
      <c r="K29" s="3">
        <f>($S$29*K3)/182.5-J29</f>
        <v>9641.7289859262637</v>
      </c>
      <c r="L29" s="3">
        <f>($S$29*L3)/182.5-K29</f>
        <v>10315.715419604458</v>
      </c>
      <c r="M29" s="3">
        <f>($S$29*M3)/182.5-L29</f>
        <v>11097.153262350748</v>
      </c>
      <c r="N29" s="3">
        <f>($S$29*N3)/182.5-M29</f>
        <v>11909.513351998736</v>
      </c>
      <c r="O29" s="66">
        <f t="shared" si="27"/>
        <v>8.6463982807754247E-2</v>
      </c>
      <c r="P29" s="111">
        <f t="shared" si="28"/>
        <v>0.18026118604153285</v>
      </c>
      <c r="Q29" s="123" t="s">
        <v>227</v>
      </c>
      <c r="R29" s="134" t="s">
        <v>209</v>
      </c>
      <c r="S29" s="91">
        <f>(I29/I3)*365</f>
        <v>65.795332905159484</v>
      </c>
    </row>
    <row r="30" spans="1:22" x14ac:dyDescent="0.3">
      <c r="A30" t="s">
        <v>157</v>
      </c>
      <c r="B30" s="3">
        <f>+[3]Historicals!B31+[3]Historicals!B28</f>
        <v>4040</v>
      </c>
      <c r="C30" s="3">
        <f>+[3]Historicals!C31+[3]Historicals!C28</f>
        <v>3808</v>
      </c>
      <c r="D30" s="3">
        <f>+[3]Historicals!D31+[3]Historicals!D28</f>
        <v>3521</v>
      </c>
      <c r="E30" s="3">
        <f>+[3]Historicals!E31+[3]Historicals!E28</f>
        <v>2126</v>
      </c>
      <c r="F30" s="3">
        <f>+[3]Historicals!F31+[3]Historicals!F28</f>
        <v>2165</v>
      </c>
      <c r="G30" s="3">
        <f>+[3]Historicals!G31+[3]Historicals!G28</f>
        <v>2092</v>
      </c>
      <c r="H30" s="3">
        <f>+[3]Historicals!H31+[3]Historicals!H28</f>
        <v>5085</v>
      </c>
      <c r="I30" s="3">
        <f>+[3]Historicals!I31+[3]Historicals!I28</f>
        <v>6552</v>
      </c>
      <c r="J30" s="159">
        <f>$P$30*J3</f>
        <v>6771.4154044832458</v>
      </c>
      <c r="K30" s="3">
        <f t="shared" ref="K30:N30" si="31">$P$30*K3</f>
        <v>7246.7579410502813</v>
      </c>
      <c r="L30" s="3">
        <f t="shared" si="31"/>
        <v>7764.9154242896257</v>
      </c>
      <c r="M30" s="3">
        <f t="shared" si="31"/>
        <v>8331.1826368272286</v>
      </c>
      <c r="N30" s="3">
        <f t="shared" si="31"/>
        <v>8951.2873905711294</v>
      </c>
      <c r="O30" s="66">
        <f t="shared" si="27"/>
        <v>6.2304608286923635E-2</v>
      </c>
      <c r="P30" s="111">
        <f t="shared" si="28"/>
        <v>0.14026974951830443</v>
      </c>
      <c r="R30" s="135" t="s">
        <v>210</v>
      </c>
      <c r="S30" s="136">
        <f>(I41/I3)*365</f>
        <v>26.23999143652323</v>
      </c>
    </row>
    <row r="31" spans="1:22" x14ac:dyDescent="0.3">
      <c r="A31" s="123" t="s">
        <v>211</v>
      </c>
      <c r="B31" s="137"/>
      <c r="C31" s="137"/>
      <c r="D31" s="137"/>
      <c r="E31" s="137"/>
      <c r="F31" s="137"/>
      <c r="G31" s="137"/>
      <c r="H31" s="137"/>
      <c r="I31" s="137"/>
      <c r="J31" s="159"/>
      <c r="K31" s="137"/>
      <c r="L31" s="137"/>
      <c r="M31" s="137"/>
      <c r="N31" s="137"/>
      <c r="O31" s="66"/>
      <c r="P31" s="111"/>
      <c r="Q31" s="123"/>
      <c r="R31" s="123"/>
      <c r="S31" s="123"/>
      <c r="T31" s="123"/>
      <c r="U31" s="123"/>
      <c r="V31" s="123"/>
    </row>
    <row r="32" spans="1:22" x14ac:dyDescent="0.3">
      <c r="A32" t="s">
        <v>158</v>
      </c>
      <c r="B32" s="3">
        <f>+[3]Historicals!B33</f>
        <v>3011</v>
      </c>
      <c r="C32" s="3">
        <f>+[3]Historicals!C33</f>
        <v>3520</v>
      </c>
      <c r="D32" s="3">
        <f>+[3]Historicals!D33</f>
        <v>3989</v>
      </c>
      <c r="E32" s="3">
        <f>+[3]Historicals!E33</f>
        <v>4454</v>
      </c>
      <c r="F32" s="3">
        <f>+[3]Historicals!F33</f>
        <v>4744</v>
      </c>
      <c r="G32" s="3">
        <f>+[3]Historicals!G33</f>
        <v>4866</v>
      </c>
      <c r="H32" s="3">
        <f>+[3]Historicals!H33</f>
        <v>4904</v>
      </c>
      <c r="I32" s="3">
        <f>+[3]Historicals!I33</f>
        <v>4791</v>
      </c>
      <c r="J32" s="159">
        <f>$P$32*J3</f>
        <v>4951.4424912819341</v>
      </c>
      <c r="K32" s="3">
        <f t="shared" ref="K32:N32" si="32">$P$32*K3</f>
        <v>5299.0258387624999</v>
      </c>
      <c r="L32" s="3">
        <f t="shared" si="32"/>
        <v>5677.9166358015264</v>
      </c>
      <c r="M32" s="3">
        <f t="shared" si="32"/>
        <v>6091.9865709766873</v>
      </c>
      <c r="N32" s="3">
        <f t="shared" si="32"/>
        <v>6545.4239756145125</v>
      </c>
      <c r="O32" s="66">
        <f t="shared" si="27"/>
        <v>5.9776846244500081E-2</v>
      </c>
      <c r="P32" s="111">
        <f t="shared" si="28"/>
        <v>0.10256904303147078</v>
      </c>
    </row>
    <row r="33" spans="1:22" x14ac:dyDescent="0.3">
      <c r="A33" t="s">
        <v>159</v>
      </c>
      <c r="B33" s="3">
        <f>+[3]Historicals!B35</f>
        <v>281</v>
      </c>
      <c r="C33" s="3">
        <f>+[3]Historicals!C35</f>
        <v>281</v>
      </c>
      <c r="D33" s="3">
        <f>+[3]Historicals!D35</f>
        <v>283</v>
      </c>
      <c r="E33" s="3">
        <f>+[3]Historicals!E35</f>
        <v>285</v>
      </c>
      <c r="F33" s="3">
        <f>+[3]Historicals!F35</f>
        <v>283</v>
      </c>
      <c r="G33" s="3">
        <f>+[3]Historicals!G35</f>
        <v>274</v>
      </c>
      <c r="H33" s="3">
        <f>+[3]Historicals!H35</f>
        <v>269</v>
      </c>
      <c r="I33" s="3">
        <f>+[3]Historicals!I35</f>
        <v>286</v>
      </c>
      <c r="J33" s="159">
        <f>$P$33*J3</f>
        <v>295.57765654490362</v>
      </c>
      <c r="K33" s="3">
        <f t="shared" ref="K33:N33" si="33">$P$33*K3</f>
        <v>316.32673552203613</v>
      </c>
      <c r="L33" s="3">
        <f t="shared" si="33"/>
        <v>338.9447209015313</v>
      </c>
      <c r="M33" s="3">
        <f t="shared" si="33"/>
        <v>363.66273414722031</v>
      </c>
      <c r="N33" s="3">
        <f t="shared" si="33"/>
        <v>390.73079879477154</v>
      </c>
      <c r="O33" s="66">
        <f t="shared" si="27"/>
        <v>2.2070746973597011E-3</v>
      </c>
      <c r="P33" s="111">
        <f t="shared" si="28"/>
        <v>6.122885891672019E-3</v>
      </c>
    </row>
    <row r="34" spans="1:22" x14ac:dyDescent="0.3">
      <c r="A34" t="s">
        <v>40</v>
      </c>
      <c r="B34" s="3">
        <f>+[3]Historicals!B36</f>
        <v>131</v>
      </c>
      <c r="C34" s="3">
        <f>+[3]Historicals!C36</f>
        <v>131</v>
      </c>
      <c r="D34" s="3">
        <f>+[3]Historicals!D36</f>
        <v>139</v>
      </c>
      <c r="E34" s="3">
        <f>+[3]Historicals!E36</f>
        <v>154</v>
      </c>
      <c r="F34" s="3">
        <f>+[3]Historicals!F36</f>
        <v>154</v>
      </c>
      <c r="G34" s="3">
        <f>+[3]Historicals!G36</f>
        <v>223</v>
      </c>
      <c r="H34" s="3">
        <f>+[3]Historicals!H36</f>
        <v>242</v>
      </c>
      <c r="I34" s="3">
        <f>+[3]Historicals!I36</f>
        <v>284</v>
      </c>
      <c r="J34" s="159">
        <f>$P$34*J3</f>
        <v>293.51067992570847</v>
      </c>
      <c r="K34" s="3">
        <f t="shared" ref="K34:N34" si="34">$P$34*K3</f>
        <v>314.11466044845542</v>
      </c>
      <c r="L34" s="3">
        <f t="shared" si="34"/>
        <v>336.57447809802409</v>
      </c>
      <c r="M34" s="3">
        <f t="shared" si="34"/>
        <v>361.11963810423276</v>
      </c>
      <c r="N34" s="3">
        <f t="shared" si="34"/>
        <v>387.99841558641651</v>
      </c>
      <c r="O34" s="66">
        <f t="shared" si="27"/>
        <v>0.10155422499604416</v>
      </c>
      <c r="P34" s="111">
        <f t="shared" si="28"/>
        <v>6.0800685078141728E-3</v>
      </c>
    </row>
    <row r="35" spans="1:22" x14ac:dyDescent="0.3">
      <c r="A35" s="51" t="s">
        <v>38</v>
      </c>
      <c r="B35" s="3">
        <f>+[3]Historicals!B34</f>
        <v>0</v>
      </c>
      <c r="C35" s="3">
        <f>+[3]Historicals!C34</f>
        <v>0</v>
      </c>
      <c r="D35" s="3">
        <f>+[3]Historicals!D34</f>
        <v>0</v>
      </c>
      <c r="E35" s="3">
        <f>+[3]Historicals!E34</f>
        <v>0</v>
      </c>
      <c r="F35" s="3">
        <f>+[3]Historicals!F34</f>
        <v>0</v>
      </c>
      <c r="G35" s="3">
        <f>+[3]Historicals!G34</f>
        <v>3097</v>
      </c>
      <c r="H35" s="3">
        <f>+[3]Historicals!H34</f>
        <v>3113</v>
      </c>
      <c r="I35" s="3">
        <f>+[3]Historicals!I34</f>
        <v>2926</v>
      </c>
      <c r="J35" s="159">
        <f>$P$35*J3</f>
        <v>3023.986793882475</v>
      </c>
      <c r="K35" s="3">
        <f t="shared" ref="K35:N35" si="35">$P$35*K3</f>
        <v>3236.265832648523</v>
      </c>
      <c r="L35" s="3">
        <f t="shared" si="35"/>
        <v>3467.665221531051</v>
      </c>
      <c r="M35" s="3">
        <f t="shared" si="35"/>
        <v>3720.5495108907921</v>
      </c>
      <c r="N35" s="3">
        <f t="shared" si="35"/>
        <v>3997.4766338234317</v>
      </c>
      <c r="O35" s="66">
        <f>_xlfn.RRI(8,G35,I35)</f>
        <v>-7.0745564690758433E-3</v>
      </c>
      <c r="P35" s="111">
        <f t="shared" si="28"/>
        <v>6.2641832584029111E-2</v>
      </c>
      <c r="Q35" s="123" t="s">
        <v>212</v>
      </c>
    </row>
    <row r="36" spans="1:22" x14ac:dyDescent="0.3">
      <c r="A36" t="s">
        <v>160</v>
      </c>
      <c r="B36" s="3">
        <f>+[3]Historicals!B37</f>
        <v>2587</v>
      </c>
      <c r="C36" s="3">
        <f>+[3]Historicals!C37</f>
        <v>2439</v>
      </c>
      <c r="D36" s="3">
        <f>+[3]Historicals!D37</f>
        <v>2787</v>
      </c>
      <c r="E36" s="3">
        <f>+[3]Historicals!E37</f>
        <v>2509</v>
      </c>
      <c r="F36" s="3">
        <f>+[3]Historicals!F37</f>
        <v>2011</v>
      </c>
      <c r="G36" s="3">
        <f>+[3]Historicals!G37</f>
        <v>2326</v>
      </c>
      <c r="H36" s="3">
        <f>+[3]Historicals!H37</f>
        <v>2921</v>
      </c>
      <c r="I36" s="3">
        <f>+[3]Historicals!I37</f>
        <v>3821</v>
      </c>
      <c r="J36" s="159">
        <f>$P$36*J3</f>
        <v>3948.9588309722963</v>
      </c>
      <c r="K36" s="3">
        <f t="shared" ref="K36:N36" si="36">$P$36*K3</f>
        <v>4226.1694280758738</v>
      </c>
      <c r="L36" s="3">
        <f t="shared" si="36"/>
        <v>4528.3488761005283</v>
      </c>
      <c r="M36" s="3">
        <f t="shared" si="36"/>
        <v>4858.5849901277234</v>
      </c>
      <c r="N36" s="3">
        <f t="shared" si="36"/>
        <v>5220.2181195623152</v>
      </c>
      <c r="O36" s="66">
        <f t="shared" si="27"/>
        <v>4.9959569465999998E-2</v>
      </c>
      <c r="P36" s="111">
        <f t="shared" si="28"/>
        <v>8.1802611860415334E-2</v>
      </c>
    </row>
    <row r="37" spans="1:22" ht="15" thickBot="1" x14ac:dyDescent="0.35">
      <c r="A37" s="6" t="s">
        <v>161</v>
      </c>
      <c r="B37" s="7">
        <f>+[3]Historicals!B38</f>
        <v>21597</v>
      </c>
      <c r="C37" s="7">
        <f>+[3]Historicals!C38</f>
        <v>21396</v>
      </c>
      <c r="D37" s="7">
        <f>+[3]Historicals!D38</f>
        <v>23259</v>
      </c>
      <c r="E37" s="7">
        <f>+[3]Historicals!E38</f>
        <v>22536</v>
      </c>
      <c r="F37" s="7">
        <f>+[3]Historicals!F38</f>
        <v>23717</v>
      </c>
      <c r="G37" s="7">
        <f>+[3]Historicals!G38</f>
        <v>31342</v>
      </c>
      <c r="H37" s="7">
        <f>+[3]Historicals!H38</f>
        <v>37740</v>
      </c>
      <c r="I37" s="7">
        <f>+[3]Historicals!I38</f>
        <v>40321</v>
      </c>
      <c r="J37" s="156">
        <f>SUM(J25,J28:J36)</f>
        <v>39906.808237575337</v>
      </c>
      <c r="K37" s="7">
        <f t="shared" ref="K37:N37" si="37">SUM(K25,K28:K36)</f>
        <v>42443.743668990821</v>
      </c>
      <c r="L37" s="7">
        <f t="shared" si="37"/>
        <v>42210.794124757551</v>
      </c>
      <c r="M37" s="7">
        <f t="shared" si="37"/>
        <v>42372.574218334405</v>
      </c>
      <c r="N37" s="7">
        <f t="shared" si="37"/>
        <v>43835.07297229422</v>
      </c>
      <c r="O37" s="66">
        <f t="shared" si="27"/>
        <v>8.1165635351016174E-2</v>
      </c>
      <c r="P37" s="111">
        <f t="shared" si="28"/>
        <v>0.86321986726611</v>
      </c>
    </row>
    <row r="38" spans="1:22" ht="15" thickTop="1" x14ac:dyDescent="0.3">
      <c r="A38" s="123" t="s">
        <v>162</v>
      </c>
      <c r="B38" s="3"/>
      <c r="C38" s="3"/>
      <c r="D38" s="3"/>
      <c r="E38" s="3"/>
      <c r="F38" s="3"/>
      <c r="G38" s="3"/>
      <c r="H38" s="3"/>
      <c r="I38" s="3"/>
      <c r="J38" s="159"/>
      <c r="K38" s="3"/>
      <c r="L38" s="3"/>
      <c r="M38" s="3"/>
      <c r="N38" s="3"/>
      <c r="O38" s="66"/>
      <c r="P38" s="111"/>
    </row>
    <row r="39" spans="1:22" x14ac:dyDescent="0.3">
      <c r="A39" s="2" t="s">
        <v>45</v>
      </c>
      <c r="B39" s="3">
        <f>+[3]Historicals!B41</f>
        <v>107</v>
      </c>
      <c r="C39" s="3">
        <f>+[3]Historicals!C41</f>
        <v>44</v>
      </c>
      <c r="D39" s="3">
        <f>+[3]Historicals!D41</f>
        <v>6</v>
      </c>
      <c r="E39" s="3">
        <f>+[3]Historicals!E41</f>
        <v>6</v>
      </c>
      <c r="F39" s="3">
        <f>+[3]Historicals!F41</f>
        <v>6</v>
      </c>
      <c r="G39" s="3">
        <f>+[3]Historicals!G41</f>
        <v>3</v>
      </c>
      <c r="H39" s="3">
        <f>+[3]Historicals!H41</f>
        <v>0</v>
      </c>
      <c r="I39" s="3">
        <f>+[3]Historicals!I41</f>
        <v>500</v>
      </c>
      <c r="J39" s="159">
        <v>0</v>
      </c>
      <c r="K39" s="3">
        <v>1000</v>
      </c>
      <c r="L39" s="3">
        <v>1000</v>
      </c>
      <c r="M39" s="3">
        <v>1000</v>
      </c>
      <c r="N39" s="3">
        <v>0</v>
      </c>
      <c r="O39" s="66">
        <f t="shared" si="27"/>
        <v>0.21254615367910557</v>
      </c>
      <c r="P39" s="111">
        <f t="shared" si="28"/>
        <v>1.0704345964461572E-2</v>
      </c>
      <c r="Q39" s="123" t="s">
        <v>213</v>
      </c>
    </row>
    <row r="40" spans="1:22" x14ac:dyDescent="0.3">
      <c r="A40" s="2" t="s">
        <v>46</v>
      </c>
      <c r="B40" s="3">
        <f>+[3]Historicals!B42</f>
        <v>74</v>
      </c>
      <c r="C40" s="3">
        <f>+[3]Historicals!C42</f>
        <v>1</v>
      </c>
      <c r="D40" s="3">
        <f>+[3]Historicals!D42</f>
        <v>325</v>
      </c>
      <c r="E40" s="3">
        <f>+[3]Historicals!E42</f>
        <v>336</v>
      </c>
      <c r="F40" s="3">
        <f>+[3]Historicals!F42</f>
        <v>9</v>
      </c>
      <c r="G40" s="3">
        <f>+[3]Historicals!G42</f>
        <v>248</v>
      </c>
      <c r="H40" s="3">
        <f>+[3]Historicals!H42</f>
        <v>2</v>
      </c>
      <c r="I40" s="3">
        <f>+[3]Historicals!I42</f>
        <v>10</v>
      </c>
      <c r="J40" s="159">
        <f>$P$40*J3</f>
        <v>10.33488309597565</v>
      </c>
      <c r="K40" s="3">
        <f t="shared" ref="K40:N40" si="38">$P$40*K3</f>
        <v>11.06037536790336</v>
      </c>
      <c r="L40" s="3">
        <f t="shared" si="38"/>
        <v>11.85121401753606</v>
      </c>
      <c r="M40" s="3">
        <f t="shared" si="38"/>
        <v>12.715480214937774</v>
      </c>
      <c r="N40" s="3">
        <f t="shared" si="38"/>
        <v>13.661916041775228</v>
      </c>
      <c r="O40" s="66">
        <f t="shared" si="27"/>
        <v>-0.2213432817675085</v>
      </c>
      <c r="P40" s="111">
        <f t="shared" si="28"/>
        <v>2.1408691928923143E-4</v>
      </c>
    </row>
    <row r="41" spans="1:22" x14ac:dyDescent="0.3">
      <c r="A41" s="2" t="s">
        <v>214</v>
      </c>
      <c r="B41" s="3">
        <f>[3]Historicals!B43</f>
        <v>2131</v>
      </c>
      <c r="C41" s="3">
        <f>[3]Historicals!C43</f>
        <v>2191</v>
      </c>
      <c r="D41" s="3">
        <f>[3]Historicals!D43</f>
        <v>2048</v>
      </c>
      <c r="E41" s="3">
        <f>[3]Historicals!E43</f>
        <v>2279</v>
      </c>
      <c r="F41" s="3">
        <f>[3]Historicals!F43</f>
        <v>2612</v>
      </c>
      <c r="G41" s="3">
        <f>[3]Historicals!G43</f>
        <v>2248</v>
      </c>
      <c r="H41" s="3">
        <f>[3]Historicals!H43</f>
        <v>2836</v>
      </c>
      <c r="I41" s="3">
        <f>[3]Historicals!I43</f>
        <v>3358</v>
      </c>
      <c r="J41" s="159">
        <f>($S$30*J3)/182.5-I41</f>
        <v>3582.9074872572473</v>
      </c>
      <c r="K41" s="3">
        <f>($S$30*K3)/182.5-J41</f>
        <v>3845.2406098266501</v>
      </c>
      <c r="L41" s="3">
        <f>($S$30*L3)/182.5-K41</f>
        <v>4114.0347243505685</v>
      </c>
      <c r="M41" s="3">
        <f>($S$30*M3)/182.5-L41</f>
        <v>4425.6817880016397</v>
      </c>
      <c r="N41" s="3">
        <f>($S$30*N3)/182.5-M41</f>
        <v>4749.6610256546055</v>
      </c>
      <c r="O41" s="66">
        <f t="shared" si="27"/>
        <v>5.8490964787963007E-2</v>
      </c>
      <c r="P41" s="111">
        <f t="shared" si="28"/>
        <v>7.1890387497323918E-2</v>
      </c>
    </row>
    <row r="42" spans="1:22" x14ac:dyDescent="0.3">
      <c r="A42" t="s">
        <v>163</v>
      </c>
      <c r="B42" s="3">
        <f>+[3]Historicals!B44+[3]Historicals!B45+[3]Historicals!B46</f>
        <v>4020</v>
      </c>
      <c r="C42" s="3">
        <f>+[3]Historicals!C44+[3]Historicals!C45+[3]Historicals!C46</f>
        <v>3122</v>
      </c>
      <c r="D42" s="3">
        <f>+[3]Historicals!D44+[3]Historicals!D45+[3]Historicals!D46</f>
        <v>3095</v>
      </c>
      <c r="E42" s="3">
        <f>+[3]Historicals!E44+[3]Historicals!E45+[3]Historicals!E46</f>
        <v>3419</v>
      </c>
      <c r="F42" s="3">
        <f>+[3]Historicals!F44+[3]Historicals!F45+[3]Historicals!F46</f>
        <v>5239</v>
      </c>
      <c r="G42" s="3">
        <f>+[3]Historicals!G44+[3]Historicals!G45+[3]Historicals!G46</f>
        <v>5785</v>
      </c>
      <c r="H42" s="3">
        <f>+[3]Historicals!H44+[3]Historicals!H45+[3]Historicals!H46</f>
        <v>6836</v>
      </c>
      <c r="I42" s="3">
        <f>+[3]Historicals!I44+[3]Historicals!I45+[3]Historicals!I46</f>
        <v>6862</v>
      </c>
      <c r="J42" s="159">
        <f>$P$42*J3</f>
        <v>7091.7967804584905</v>
      </c>
      <c r="K42" s="3">
        <f t="shared" ref="K42:N42" si="39">$P$42*K3</f>
        <v>7589.6295774552855</v>
      </c>
      <c r="L42" s="3">
        <f t="shared" si="39"/>
        <v>8132.3030588332431</v>
      </c>
      <c r="M42" s="3">
        <f t="shared" si="39"/>
        <v>8725.3625234902993</v>
      </c>
      <c r="N42" s="3">
        <f t="shared" si="39"/>
        <v>9374.8067878661604</v>
      </c>
      <c r="O42" s="66">
        <f t="shared" si="27"/>
        <v>6.9124009249653007E-2</v>
      </c>
      <c r="P42" s="111">
        <f t="shared" si="28"/>
        <v>0.14690644401627059</v>
      </c>
    </row>
    <row r="43" spans="1:22" x14ac:dyDescent="0.3">
      <c r="A43" t="s">
        <v>49</v>
      </c>
      <c r="B43" s="3">
        <f>+[3]Historicals!B48</f>
        <v>1079</v>
      </c>
      <c r="C43" s="3">
        <f>+[3]Historicals!C48</f>
        <v>2010</v>
      </c>
      <c r="D43" s="3">
        <f>+[3]Historicals!D48</f>
        <v>3471</v>
      </c>
      <c r="E43" s="3">
        <f>+[3]Historicals!E48</f>
        <v>3468</v>
      </c>
      <c r="F43" s="3">
        <f>+[3]Historicals!F48</f>
        <v>3464</v>
      </c>
      <c r="G43" s="3">
        <f>+[3]Historicals!G48</f>
        <v>9406</v>
      </c>
      <c r="H43" s="3">
        <f>+[3]Historicals!H48</f>
        <v>9413</v>
      </c>
      <c r="I43" s="3">
        <f>+[3]Historicals!I48</f>
        <v>8920</v>
      </c>
      <c r="J43" s="159">
        <f>$P$43*J3</f>
        <v>9218.7157216102787</v>
      </c>
      <c r="K43" s="3">
        <f t="shared" ref="K43:N43" si="40">$P$43*K3</f>
        <v>9865.8548281697967</v>
      </c>
      <c r="L43" s="3">
        <f t="shared" si="40"/>
        <v>10571.282903642164</v>
      </c>
      <c r="M43" s="3">
        <f t="shared" si="40"/>
        <v>11342.208351724494</v>
      </c>
      <c r="N43" s="3">
        <f t="shared" si="40"/>
        <v>12186.429109263503</v>
      </c>
      <c r="O43" s="66">
        <f t="shared" si="27"/>
        <v>0.30217072129826317</v>
      </c>
      <c r="P43" s="111">
        <f t="shared" si="28"/>
        <v>0.19096553200599442</v>
      </c>
    </row>
    <row r="44" spans="1:22" s="1" customFormat="1" x14ac:dyDescent="0.3">
      <c r="A44" s="51" t="s">
        <v>50</v>
      </c>
      <c r="B44" s="3">
        <f>+[3]Historicals!B49</f>
        <v>0</v>
      </c>
      <c r="C44" s="3">
        <f>+[3]Historicals!C49</f>
        <v>0</v>
      </c>
      <c r="D44" s="3">
        <f>+[3]Historicals!D49</f>
        <v>0</v>
      </c>
      <c r="E44" s="3">
        <f>+[3]Historicals!E49</f>
        <v>0</v>
      </c>
      <c r="F44" s="3">
        <f>+[3]Historicals!F49</f>
        <v>0</v>
      </c>
      <c r="G44" s="3">
        <f>+[3]Historicals!G49</f>
        <v>2913</v>
      </c>
      <c r="H44" s="3">
        <f>+[3]Historicals!H49</f>
        <v>2931</v>
      </c>
      <c r="I44" s="3">
        <f>+[3]Historicals!I49</f>
        <v>2777</v>
      </c>
      <c r="J44" s="159">
        <f>$P$44*J3</f>
        <v>2869.997035752438</v>
      </c>
      <c r="K44" s="3">
        <f t="shared" ref="K44:N44" si="41">$P$44*K3</f>
        <v>3071.4662396667632</v>
      </c>
      <c r="L44" s="3">
        <f t="shared" si="41"/>
        <v>3291.0821326697637</v>
      </c>
      <c r="M44" s="3">
        <f t="shared" si="41"/>
        <v>3531.0888556882196</v>
      </c>
      <c r="N44" s="3">
        <f t="shared" si="41"/>
        <v>3793.9140848009811</v>
      </c>
      <c r="O44" s="66">
        <f>_xlfn.RRI(8,G44,I44)</f>
        <v>-5.9587097551663248E-3</v>
      </c>
      <c r="P44" s="111">
        <f t="shared" si="28"/>
        <v>5.9451937486619567E-2</v>
      </c>
      <c r="Q44" s="169" t="s">
        <v>212</v>
      </c>
      <c r="R44"/>
      <c r="S44"/>
      <c r="T44"/>
      <c r="U44"/>
      <c r="V44"/>
    </row>
    <row r="45" spans="1:22" x14ac:dyDescent="0.3">
      <c r="A45" t="s">
        <v>164</v>
      </c>
      <c r="B45" s="3">
        <f>+[3]Historicals!B50</f>
        <v>1479</v>
      </c>
      <c r="C45" s="3">
        <f>+[3]Historicals!C50</f>
        <v>1770</v>
      </c>
      <c r="D45" s="3">
        <f>+[3]Historicals!D50</f>
        <v>1907</v>
      </c>
      <c r="E45" s="3">
        <f>+[3]Historicals!E50</f>
        <v>3216</v>
      </c>
      <c r="F45" s="3">
        <f>+[3]Historicals!F50</f>
        <v>3347</v>
      </c>
      <c r="G45" s="3">
        <f>+[3]Historicals!G50</f>
        <v>2684</v>
      </c>
      <c r="H45" s="3">
        <f>+[3]Historicals!H50</f>
        <v>2955</v>
      </c>
      <c r="I45" s="3">
        <f>+[3]Historicals!I50</f>
        <v>2613</v>
      </c>
      <c r="J45" s="159">
        <f>$P$45*J3+(0.2*I45)</f>
        <v>3223.1049529784373</v>
      </c>
      <c r="K45" s="3">
        <f t="shared" ref="K45:N45" si="42">$P$45*K3</f>
        <v>2890.0760836331478</v>
      </c>
      <c r="L45" s="3">
        <f t="shared" si="42"/>
        <v>3096.7222227821721</v>
      </c>
      <c r="M45" s="3">
        <f t="shared" si="42"/>
        <v>3322.5549801632401</v>
      </c>
      <c r="N45" s="3">
        <f t="shared" si="42"/>
        <v>3569.8586617158671</v>
      </c>
      <c r="O45" s="66">
        <f t="shared" si="27"/>
        <v>7.3733256110524392E-2</v>
      </c>
      <c r="P45" s="111">
        <f>(I45/$I$3)</f>
        <v>5.5940912010276171E-2</v>
      </c>
      <c r="Q45" s="123" t="s">
        <v>248</v>
      </c>
    </row>
    <row r="46" spans="1:22" x14ac:dyDescent="0.3">
      <c r="A46" s="123" t="s">
        <v>165</v>
      </c>
      <c r="B46" s="3"/>
      <c r="C46" s="3"/>
      <c r="D46" s="3"/>
      <c r="E46" s="3"/>
      <c r="F46" s="3"/>
      <c r="G46" s="3"/>
      <c r="H46" s="3"/>
      <c r="I46" s="3"/>
      <c r="J46" s="159"/>
      <c r="K46" s="3"/>
      <c r="L46" s="3"/>
      <c r="M46" s="3"/>
      <c r="N46" s="3"/>
      <c r="O46" s="66"/>
      <c r="P46" s="111"/>
      <c r="Q46" s="168" t="s">
        <v>249</v>
      </c>
    </row>
    <row r="47" spans="1:22" x14ac:dyDescent="0.3">
      <c r="A47" s="2" t="s">
        <v>166</v>
      </c>
      <c r="B47" s="3">
        <f>+[3]Historicals!B56</f>
        <v>3</v>
      </c>
      <c r="C47" s="3">
        <f>+[3]Historicals!C56</f>
        <v>3</v>
      </c>
      <c r="D47" s="3">
        <f>+[3]Historicals!D56</f>
        <v>3</v>
      </c>
      <c r="E47" s="3">
        <f>+[3]Historicals!E56</f>
        <v>3</v>
      </c>
      <c r="F47" s="3">
        <f>+[3]Historicals!F56</f>
        <v>3</v>
      </c>
      <c r="G47" s="3">
        <f>+[3]Historicals!G56</f>
        <v>3</v>
      </c>
      <c r="H47" s="3">
        <f>+[3]Historicals!H56</f>
        <v>3</v>
      </c>
      <c r="I47" s="3">
        <f>+[3]Historicals!I56</f>
        <v>3</v>
      </c>
      <c r="J47" s="159">
        <f>$P$47*J3</f>
        <v>3.1004649287926949</v>
      </c>
      <c r="K47" s="3">
        <f t="shared" ref="K47:N47" si="43">$P$47*K3</f>
        <v>3.3181126103710081</v>
      </c>
      <c r="L47" s="3">
        <f t="shared" si="43"/>
        <v>3.5553642052608181</v>
      </c>
      <c r="M47" s="3">
        <f t="shared" si="43"/>
        <v>3.8146440644813322</v>
      </c>
      <c r="N47" s="3">
        <f t="shared" si="43"/>
        <v>4.0985748125325685</v>
      </c>
      <c r="O47" s="66">
        <f t="shared" si="27"/>
        <v>0</v>
      </c>
      <c r="P47" s="111">
        <f t="shared" si="28"/>
        <v>6.4226075786769429E-5</v>
      </c>
      <c r="Q47" s="123"/>
    </row>
    <row r="48" spans="1:22" x14ac:dyDescent="0.3">
      <c r="A48" s="2" t="s">
        <v>167</v>
      </c>
      <c r="B48" s="3">
        <f>+[3]Historicals!B59</f>
        <v>4685</v>
      </c>
      <c r="C48" s="3">
        <f>+[3]Historicals!C59</f>
        <v>4151</v>
      </c>
      <c r="D48" s="3">
        <f>+[3]Historicals!D59</f>
        <v>6907</v>
      </c>
      <c r="E48" s="3">
        <f>+[3]Historicals!E59</f>
        <v>3517</v>
      </c>
      <c r="F48" s="3">
        <f>+[3]Historicals!F59</f>
        <v>1643</v>
      </c>
      <c r="G48" s="3">
        <v>-191</v>
      </c>
      <c r="H48" s="3">
        <f>+[3]Historicals!H59</f>
        <v>3179</v>
      </c>
      <c r="I48" s="138">
        <f>+[3]Historicals!I59</f>
        <v>3476</v>
      </c>
      <c r="J48" s="160">
        <f>I48+J16+J67+J69</f>
        <v>4310.7583727617648</v>
      </c>
      <c r="K48" s="138">
        <f t="shared" ref="K48:N48" si="44">J48+K16+K67+K69</f>
        <v>5414.7106530223064</v>
      </c>
      <c r="L48" s="138">
        <f t="shared" si="44"/>
        <v>6812.1036142290613</v>
      </c>
      <c r="M48" s="138">
        <f t="shared" si="44"/>
        <v>8530.1825479817235</v>
      </c>
      <c r="N48" s="138">
        <f t="shared" si="44"/>
        <v>10599.436495282422</v>
      </c>
      <c r="O48" s="66">
        <f t="shared" si="27"/>
        <v>-3.6623004512981838E-2</v>
      </c>
      <c r="P48" s="111">
        <f t="shared" si="28"/>
        <v>7.4416613144936847E-2</v>
      </c>
      <c r="Q48" s="123" t="s">
        <v>238</v>
      </c>
    </row>
    <row r="49" spans="1:22" x14ac:dyDescent="0.3">
      <c r="A49" s="2" t="s">
        <v>58</v>
      </c>
      <c r="B49" s="3">
        <f>+[4]Historicals!B57</f>
        <v>6773</v>
      </c>
      <c r="C49" s="3">
        <f>+[4]Historicals!C57</f>
        <v>7786</v>
      </c>
      <c r="D49" s="3">
        <f>+[4]Historicals!D57</f>
        <v>5710</v>
      </c>
      <c r="E49" s="3">
        <f>+[4]Historicals!E57</f>
        <v>6384</v>
      </c>
      <c r="F49" s="3">
        <f>+[4]Historicals!F57</f>
        <v>7163</v>
      </c>
      <c r="G49" s="3">
        <f>+[4]Historicals!G57</f>
        <v>8299</v>
      </c>
      <c r="H49" s="3">
        <f>+[4]Historicals!H57</f>
        <v>9965</v>
      </c>
      <c r="I49" s="3">
        <f>+[4]Historicals!I57</f>
        <v>11484</v>
      </c>
      <c r="J49" s="159">
        <f>J37-SUM(J39:J48,J50)</f>
        <v>9267.4432562798866</v>
      </c>
      <c r="K49" s="3">
        <f t="shared" ref="K49:N49" si="45">K37-SUM(K39:K48,K50)</f>
        <v>8400.6672525392714</v>
      </c>
      <c r="L49" s="3">
        <f t="shared" si="45"/>
        <v>4800.990284270134</v>
      </c>
      <c r="M49" s="3">
        <f t="shared" si="45"/>
        <v>1074.6127761703465</v>
      </c>
      <c r="N49" s="3">
        <f t="shared" si="45"/>
        <v>-891.24261327207932</v>
      </c>
      <c r="O49" s="66">
        <f t="shared" si="27"/>
        <v>6.8228138179007525E-2</v>
      </c>
      <c r="P49" s="111">
        <f t="shared" si="28"/>
        <v>0.24585741811175338</v>
      </c>
      <c r="Q49" s="123" t="s">
        <v>239</v>
      </c>
    </row>
    <row r="50" spans="1:22" x14ac:dyDescent="0.3">
      <c r="A50" s="2" t="s">
        <v>215</v>
      </c>
      <c r="B50" s="3">
        <f>+[4]Historicals!B58</f>
        <v>1246</v>
      </c>
      <c r="C50" s="3">
        <f>+[4]Historicals!C58</f>
        <v>318</v>
      </c>
      <c r="D50" s="3">
        <f>+[4]Historicals!D58</f>
        <v>-213</v>
      </c>
      <c r="E50" s="3">
        <f>+[4]Historicals!E58</f>
        <v>-92</v>
      </c>
      <c r="F50" s="3">
        <f>+[4]Historicals!F58</f>
        <v>231</v>
      </c>
      <c r="G50" s="3">
        <f>+[4]Historicals!G58</f>
        <v>-56</v>
      </c>
      <c r="H50" s="3">
        <f>+[4]Historicals!H58</f>
        <v>-380</v>
      </c>
      <c r="I50" s="3">
        <f>+[4]Historicals!I58</f>
        <v>318</v>
      </c>
      <c r="J50" s="159">
        <f>J3*$P$50</f>
        <v>328.64928245202566</v>
      </c>
      <c r="K50" s="3">
        <f t="shared" ref="K50:N50" si="46">K3*$P$50</f>
        <v>351.71993669932687</v>
      </c>
      <c r="L50" s="3">
        <f t="shared" si="46"/>
        <v>376.86860575764672</v>
      </c>
      <c r="M50" s="3">
        <f t="shared" si="46"/>
        <v>404.35227083502122</v>
      </c>
      <c r="N50" s="3">
        <f t="shared" si="46"/>
        <v>434.44893012845228</v>
      </c>
      <c r="O50" s="66">
        <f t="shared" si="27"/>
        <v>-0.15693000161590154</v>
      </c>
      <c r="P50" s="111">
        <f t="shared" si="28"/>
        <v>6.8079640333975596E-3</v>
      </c>
    </row>
    <row r="51" spans="1:22" ht="15" thickBot="1" x14ac:dyDescent="0.35">
      <c r="A51" s="6" t="s">
        <v>168</v>
      </c>
      <c r="B51" s="7">
        <f>+[3]Historicals!B61</f>
        <v>21597</v>
      </c>
      <c r="C51" s="7">
        <f>+[3]Historicals!C61</f>
        <v>21396</v>
      </c>
      <c r="D51" s="7">
        <f>+[3]Historicals!D61</f>
        <v>23259</v>
      </c>
      <c r="E51" s="7">
        <f>+[3]Historicals!E61</f>
        <v>22536</v>
      </c>
      <c r="F51" s="7">
        <f>+[3]Historicals!F61</f>
        <v>23717</v>
      </c>
      <c r="G51" s="7">
        <f>+[3]Historicals!G61</f>
        <v>31342</v>
      </c>
      <c r="H51" s="7">
        <f>+[3]Historicals!H61</f>
        <v>37740</v>
      </c>
      <c r="I51" s="7">
        <f>+[3]Historicals!I61</f>
        <v>40321</v>
      </c>
      <c r="J51" s="156">
        <f t="shared" ref="J51:M51" si="47">SUM(J39:J50)</f>
        <v>39906.808237575337</v>
      </c>
      <c r="K51" s="7">
        <f t="shared" si="47"/>
        <v>42443.743668990821</v>
      </c>
      <c r="L51" s="7">
        <f t="shared" si="47"/>
        <v>42210.794124757551</v>
      </c>
      <c r="M51" s="7">
        <f t="shared" si="47"/>
        <v>42372.574218334405</v>
      </c>
      <c r="N51" s="7">
        <f>SUM(N39:N50)</f>
        <v>43835.07297229422</v>
      </c>
      <c r="O51" s="66">
        <f t="shared" si="27"/>
        <v>8.1165635351016174E-2</v>
      </c>
      <c r="P51" s="111">
        <f t="shared" si="28"/>
        <v>0.86321986726611</v>
      </c>
    </row>
    <row r="52" spans="1:22" ht="15" thickTop="1" x14ac:dyDescent="0.3">
      <c r="A52" s="139" t="s">
        <v>169</v>
      </c>
      <c r="B52" s="139">
        <f>B51-B37</f>
        <v>0</v>
      </c>
      <c r="C52" s="139">
        <f t="shared" ref="C52:N52" si="48">C51-C37</f>
        <v>0</v>
      </c>
      <c r="D52" s="139">
        <f t="shared" si="48"/>
        <v>0</v>
      </c>
      <c r="E52" s="139">
        <f t="shared" si="48"/>
        <v>0</v>
      </c>
      <c r="F52" s="139">
        <f t="shared" si="48"/>
        <v>0</v>
      </c>
      <c r="G52" s="139">
        <f t="shared" si="48"/>
        <v>0</v>
      </c>
      <c r="H52" s="139">
        <f t="shared" si="48"/>
        <v>0</v>
      </c>
      <c r="I52" s="139">
        <f t="shared" si="48"/>
        <v>0</v>
      </c>
      <c r="J52" s="161">
        <f t="shared" si="48"/>
        <v>0</v>
      </c>
      <c r="K52" s="139">
        <f t="shared" si="48"/>
        <v>0</v>
      </c>
      <c r="L52" s="139">
        <f t="shared" si="48"/>
        <v>0</v>
      </c>
      <c r="M52" s="139">
        <f t="shared" si="48"/>
        <v>0</v>
      </c>
      <c r="N52" s="139">
        <f t="shared" si="48"/>
        <v>0</v>
      </c>
      <c r="O52" s="109"/>
      <c r="Q52" s="140"/>
      <c r="R52" s="140">
        <f t="shared" ref="R52:U52" si="49">-K52</f>
        <v>0</v>
      </c>
      <c r="S52" s="140">
        <f t="shared" si="49"/>
        <v>0</v>
      </c>
      <c r="T52" s="140">
        <f t="shared" si="49"/>
        <v>0</v>
      </c>
      <c r="U52" s="140">
        <f t="shared" si="49"/>
        <v>0</v>
      </c>
      <c r="V52" s="141"/>
    </row>
    <row r="53" spans="1:22" x14ac:dyDescent="0.3">
      <c r="A53" s="50" t="s">
        <v>216</v>
      </c>
      <c r="B53" s="38"/>
      <c r="C53" s="38"/>
      <c r="D53" s="38"/>
      <c r="E53" s="38"/>
      <c r="F53" s="38"/>
      <c r="G53" s="38"/>
      <c r="H53" s="38"/>
      <c r="I53" s="38"/>
      <c r="J53" s="151"/>
      <c r="K53" s="119"/>
      <c r="L53" s="119"/>
      <c r="M53" s="119"/>
      <c r="N53" s="119"/>
      <c r="O53" s="142"/>
      <c r="P53" s="142"/>
    </row>
    <row r="54" spans="1:22" x14ac:dyDescent="0.3">
      <c r="A54" s="1" t="s">
        <v>132</v>
      </c>
      <c r="B54" s="9">
        <f>+'[3]Segmental forecast'!B11</f>
        <v>4233</v>
      </c>
      <c r="C54" s="9">
        <f>+'[3]Segmental forecast'!C11</f>
        <v>4642</v>
      </c>
      <c r="D54" s="9">
        <f>+'[3]Segmental forecast'!D11</f>
        <v>4945</v>
      </c>
      <c r="E54" s="9">
        <f>+'[3]Segmental forecast'!E11</f>
        <v>4379</v>
      </c>
      <c r="F54" s="9">
        <f>+'[3]Segmental forecast'!F11</f>
        <v>4850</v>
      </c>
      <c r="G54" s="9">
        <f>+'[3]Segmental forecast'!G11</f>
        <v>2976</v>
      </c>
      <c r="H54" s="9">
        <f>+'[3]Segmental forecast'!H11</f>
        <v>6923</v>
      </c>
      <c r="I54" s="9">
        <f>+'[3]Segmental forecast'!I11</f>
        <v>6856</v>
      </c>
      <c r="J54" s="108">
        <f>$P$54*J3</f>
        <v>7085.5958506009056</v>
      </c>
      <c r="K54" s="9">
        <f t="shared" ref="K54:N54" si="50">$P$54*K3</f>
        <v>7582.9933522345436</v>
      </c>
      <c r="L54" s="9">
        <f t="shared" si="50"/>
        <v>8125.1923304227221</v>
      </c>
      <c r="M54" s="9">
        <f t="shared" si="50"/>
        <v>8717.7332353613365</v>
      </c>
      <c r="N54" s="9">
        <f t="shared" si="50"/>
        <v>9366.609638241096</v>
      </c>
      <c r="O54" s="66">
        <f t="shared" ref="O54:O77" si="51">_xlfn.RRI(8,B54,I54)</f>
        <v>6.2130346886679622E-2</v>
      </c>
      <c r="P54" s="111">
        <f t="shared" ref="P54:P77" si="52">I54/$I$3</f>
        <v>0.14677799186469706</v>
      </c>
    </row>
    <row r="55" spans="1:22" x14ac:dyDescent="0.3">
      <c r="A55" t="s">
        <v>130</v>
      </c>
      <c r="B55" s="52">
        <f>+[3]Historicals!B68</f>
        <v>606</v>
      </c>
      <c r="C55" s="52">
        <f>+[3]Historicals!C68+[3]Historicals!C71</f>
        <v>662</v>
      </c>
      <c r="D55" s="52">
        <f>+[3]Historicals!D68+[3]Historicals!D71</f>
        <v>716</v>
      </c>
      <c r="E55" s="52">
        <f>+[3]Historicals!E68+[3]Historicals!E71</f>
        <v>774</v>
      </c>
      <c r="F55" s="52">
        <f>+[3]Historicals!F68+[3]Historicals!F71</f>
        <v>720</v>
      </c>
      <c r="G55" s="52">
        <f>+[3]Historicals!G68+[3]Historicals!G71</f>
        <v>1119</v>
      </c>
      <c r="H55" s="52">
        <f>+[3]Historicals!H68+[3]Historicals!H71</f>
        <v>797</v>
      </c>
      <c r="I55" s="52">
        <f>+[3]Historicals!I68+[3]Historicals!I71</f>
        <v>840</v>
      </c>
      <c r="J55" s="154">
        <f>$P$55*J3</f>
        <v>868.13018006195455</v>
      </c>
      <c r="K55" s="47">
        <f t="shared" ref="K55:N55" si="53">$P$55*K3</f>
        <v>929.07153090388215</v>
      </c>
      <c r="L55" s="47">
        <f t="shared" si="53"/>
        <v>995.50197747302889</v>
      </c>
      <c r="M55" s="47">
        <f t="shared" si="53"/>
        <v>1068.1003380547729</v>
      </c>
      <c r="N55" s="47">
        <f t="shared" si="53"/>
        <v>1147.6009475091191</v>
      </c>
      <c r="O55" s="66">
        <f t="shared" si="51"/>
        <v>4.1659628878723209E-2</v>
      </c>
      <c r="P55" s="111">
        <f t="shared" si="52"/>
        <v>1.7983301220295438E-2</v>
      </c>
    </row>
    <row r="56" spans="1:22" x14ac:dyDescent="0.3">
      <c r="A56" t="s">
        <v>170</v>
      </c>
      <c r="B56" s="3">
        <f>[4]Historicals!B106</f>
        <v>1262</v>
      </c>
      <c r="C56" s="3">
        <f>[4]Historicals!C106</f>
        <v>748</v>
      </c>
      <c r="D56" s="3">
        <f>[4]Historicals!D106</f>
        <v>703</v>
      </c>
      <c r="E56" s="3">
        <f>[4]Historicals!E106</f>
        <v>529</v>
      </c>
      <c r="F56" s="3">
        <f>[4]Historicals!F106</f>
        <v>757</v>
      </c>
      <c r="G56" s="3">
        <f>[4]Historicals!G106</f>
        <v>1028</v>
      </c>
      <c r="H56" s="3">
        <f>[4]Historicals!H106</f>
        <v>1177</v>
      </c>
      <c r="I56" s="3">
        <f>[4]Historicals!I106</f>
        <v>1231</v>
      </c>
      <c r="J56" s="154">
        <f>$P$56*J3</f>
        <v>1272.2241091146025</v>
      </c>
      <c r="K56" s="47">
        <f t="shared" ref="K56:N56" si="54">$P$56*K3</f>
        <v>1361.5322077889036</v>
      </c>
      <c r="L56" s="47">
        <f t="shared" si="54"/>
        <v>1458.8844455586889</v>
      </c>
      <c r="M56" s="47">
        <f t="shared" si="54"/>
        <v>1565.27561445884</v>
      </c>
      <c r="N56" s="47">
        <f t="shared" si="54"/>
        <v>1681.7818647425306</v>
      </c>
      <c r="O56" s="66">
        <f t="shared" si="51"/>
        <v>-3.1040370989854349E-3</v>
      </c>
      <c r="P56" s="111">
        <f t="shared" si="52"/>
        <v>2.6354099764504389E-2</v>
      </c>
    </row>
    <row r="57" spans="1:22" x14ac:dyDescent="0.3">
      <c r="A57" s="1" t="s">
        <v>171</v>
      </c>
      <c r="B57" s="9">
        <f t="shared" ref="B57:I57" si="55">B54*(1-B15)</f>
        <v>3294.7940546967893</v>
      </c>
      <c r="C57" s="9">
        <f t="shared" si="55"/>
        <v>3775.4531689379191</v>
      </c>
      <c r="D57" s="9">
        <f t="shared" si="55"/>
        <v>4291.19934506754</v>
      </c>
      <c r="E57" s="9">
        <f t="shared" si="55"/>
        <v>1957.1345664739886</v>
      </c>
      <c r="F57" s="9">
        <f t="shared" si="55"/>
        <v>4070.1208081649661</v>
      </c>
      <c r="G57" s="9">
        <f t="shared" si="55"/>
        <v>2617.2719085555941</v>
      </c>
      <c r="H57" s="9">
        <f t="shared" si="55"/>
        <v>5952.2625731872085</v>
      </c>
      <c r="I57" s="9">
        <f t="shared" si="55"/>
        <v>6232.3524282062854</v>
      </c>
      <c r="J57" s="108">
        <f>$P$57*J3</f>
        <v>6441.0633758431941</v>
      </c>
      <c r="K57" s="9">
        <f t="shared" ref="K57:N57" si="56">$P$57*K3</f>
        <v>6893.2157281025493</v>
      </c>
      <c r="L57" s="9">
        <f t="shared" si="56"/>
        <v>7386.0942459383232</v>
      </c>
      <c r="M57" s="9">
        <f t="shared" si="56"/>
        <v>7924.735399337641</v>
      </c>
      <c r="N57" s="9">
        <f t="shared" si="56"/>
        <v>8514.5875616908252</v>
      </c>
      <c r="O57" s="66">
        <f t="shared" si="51"/>
        <v>8.29364366108718E-2</v>
      </c>
      <c r="P57" s="111">
        <f t="shared" si="52"/>
        <v>0.13342651312794446</v>
      </c>
    </row>
    <row r="58" spans="1:22" x14ac:dyDescent="0.3">
      <c r="A58" t="s">
        <v>172</v>
      </c>
      <c r="B58" s="3">
        <f>+[3]Historicals!B105</f>
        <v>53</v>
      </c>
      <c r="C58" s="3">
        <f>+[3]Historicals!C105</f>
        <v>70</v>
      </c>
      <c r="D58" s="3">
        <f>+[3]Historicals!D105</f>
        <v>98</v>
      </c>
      <c r="E58" s="3">
        <f>+[3]Historicals!E105</f>
        <v>125</v>
      </c>
      <c r="F58" s="3">
        <f>+[3]Historicals!F105</f>
        <v>153</v>
      </c>
      <c r="G58" s="3">
        <f>+[3]Historicals!G105</f>
        <v>140</v>
      </c>
      <c r="H58" s="3">
        <f>+[3]Historicals!H105</f>
        <v>293</v>
      </c>
      <c r="I58" s="3">
        <f>+[3]Historicals!I105</f>
        <v>290</v>
      </c>
      <c r="J58" s="154">
        <f>$P$58*J3</f>
        <v>299.71160978329385</v>
      </c>
      <c r="K58" s="47">
        <f t="shared" ref="K58:N58" si="57">$P$58*K3</f>
        <v>320.75088566919743</v>
      </c>
      <c r="L58" s="47">
        <f t="shared" si="57"/>
        <v>343.68520650854572</v>
      </c>
      <c r="M58" s="47">
        <f t="shared" si="57"/>
        <v>368.74892623319545</v>
      </c>
      <c r="N58" s="47">
        <f t="shared" si="57"/>
        <v>396.19556521148166</v>
      </c>
      <c r="O58" s="66">
        <f t="shared" si="51"/>
        <v>0.23670257779584225</v>
      </c>
      <c r="P58" s="111">
        <f t="shared" si="52"/>
        <v>6.2085206593877115E-3</v>
      </c>
    </row>
    <row r="59" spans="1:22" x14ac:dyDescent="0.3">
      <c r="A59" t="s">
        <v>173</v>
      </c>
      <c r="B59" s="3">
        <v>-113</v>
      </c>
      <c r="C59" s="3">
        <f>B26-C26</f>
        <v>-324</v>
      </c>
      <c r="D59" s="3">
        <f t="shared" ref="D59:I59" si="58">C26-D26</f>
        <v>-796</v>
      </c>
      <c r="E59" s="3">
        <f t="shared" si="58"/>
        <v>204</v>
      </c>
      <c r="F59" s="3">
        <f t="shared" si="58"/>
        <v>-802</v>
      </c>
      <c r="G59" s="3">
        <f t="shared" si="58"/>
        <v>-586</v>
      </c>
      <c r="H59" s="3">
        <f t="shared" si="58"/>
        <v>-613</v>
      </c>
      <c r="I59" s="3">
        <f t="shared" si="58"/>
        <v>-1248</v>
      </c>
      <c r="J59" s="160">
        <f>$P$59*J3</f>
        <v>-1289.7934103777611</v>
      </c>
      <c r="K59" s="138">
        <f t="shared" ref="K59:N59" si="59">$P$59*K3</f>
        <v>-1380.3348459143394</v>
      </c>
      <c r="L59" s="138">
        <f t="shared" si="59"/>
        <v>-1479.0315093885004</v>
      </c>
      <c r="M59" s="138">
        <f t="shared" si="59"/>
        <v>-1586.8919308242341</v>
      </c>
      <c r="N59" s="138">
        <f t="shared" si="59"/>
        <v>-1705.0071220135487</v>
      </c>
      <c r="O59" s="66">
        <f t="shared" si="51"/>
        <v>0.35018107930942133</v>
      </c>
      <c r="P59" s="111">
        <f t="shared" si="52"/>
        <v>-2.6718047527296084E-2</v>
      </c>
    </row>
    <row r="60" spans="1:22" x14ac:dyDescent="0.3">
      <c r="A60" t="s">
        <v>133</v>
      </c>
      <c r="B60" s="3">
        <f>[4]Historicals!B84+[4]Historicals!B107</f>
        <v>-757</v>
      </c>
      <c r="C60" s="3">
        <f>[4]Historicals!C84+[4]Historicals!C107</f>
        <v>-891</v>
      </c>
      <c r="D60" s="3">
        <f>[4]Historicals!D84+[4]Historicals!D107</f>
        <v>-839</v>
      </c>
      <c r="E60" s="3">
        <f>[4]Historicals!E84+[4]Historicals!E107</f>
        <v>-734</v>
      </c>
      <c r="F60" s="3">
        <f>[4]Historicals!F84+[4]Historicals!F107</f>
        <v>-959</v>
      </c>
      <c r="G60" s="3">
        <f>[4]Historicals!G84+[4]Historicals!G107</f>
        <v>-965</v>
      </c>
      <c r="H60" s="3">
        <f>[4]Historicals!H84+[4]Historicals!H107</f>
        <v>-516</v>
      </c>
      <c r="I60" s="3">
        <f>[4]Historicals!I84+[4]Historicals!I107</f>
        <v>-598</v>
      </c>
      <c r="J60" s="154">
        <f>$P$60*J3</f>
        <v>-618.02600913934384</v>
      </c>
      <c r="K60" s="47">
        <f t="shared" ref="K60:N60" si="60">$P$60*K3</f>
        <v>-661.41044700062093</v>
      </c>
      <c r="L60" s="47">
        <f t="shared" si="60"/>
        <v>-708.70259824865639</v>
      </c>
      <c r="M60" s="47">
        <f t="shared" si="60"/>
        <v>-760.38571685327884</v>
      </c>
      <c r="N60" s="47">
        <f t="shared" si="60"/>
        <v>-816.98257929815873</v>
      </c>
      <c r="O60" s="66">
        <f t="shared" si="51"/>
        <v>-2.9041511057092406E-2</v>
      </c>
      <c r="P60" s="111">
        <f t="shared" si="52"/>
        <v>-1.280239777349604E-2</v>
      </c>
    </row>
    <row r="61" spans="1:22" x14ac:dyDescent="0.3">
      <c r="A61" s="1" t="s">
        <v>174</v>
      </c>
      <c r="B61" s="9">
        <f>B57+B55-B59-B60</f>
        <v>4770.7940546967893</v>
      </c>
      <c r="C61" s="9">
        <f t="shared" ref="C61:I61" si="61">C57+C55-C59-C60</f>
        <v>5652.4531689379191</v>
      </c>
      <c r="D61" s="9">
        <f t="shared" si="61"/>
        <v>6642.19934506754</v>
      </c>
      <c r="E61" s="9">
        <f t="shared" si="61"/>
        <v>3261.1345664739883</v>
      </c>
      <c r="F61" s="9">
        <f t="shared" si="61"/>
        <v>6551.1208081649656</v>
      </c>
      <c r="G61" s="9">
        <f t="shared" si="61"/>
        <v>5287.2719085555946</v>
      </c>
      <c r="H61" s="9">
        <f t="shared" si="61"/>
        <v>7878.2625731872085</v>
      </c>
      <c r="I61" s="9">
        <f t="shared" si="61"/>
        <v>8918.3524282062863</v>
      </c>
      <c r="J61" s="108">
        <f>$P$61*J3</f>
        <v>9217.0129754222544</v>
      </c>
      <c r="K61" s="9">
        <f t="shared" ref="K61:N61" si="62">$P$61*K3</f>
        <v>9864.032551921393</v>
      </c>
      <c r="L61" s="9">
        <f t="shared" si="62"/>
        <v>10569.33033104851</v>
      </c>
      <c r="M61" s="9">
        <f t="shared" si="62"/>
        <v>11340.113385069928</v>
      </c>
      <c r="N61" s="9">
        <f t="shared" si="62"/>
        <v>12184.178210511653</v>
      </c>
      <c r="O61" s="66">
        <f t="shared" si="51"/>
        <v>8.1338697294891071E-2</v>
      </c>
      <c r="P61" s="111">
        <f t="shared" si="52"/>
        <v>0.19093025964903204</v>
      </c>
    </row>
    <row r="62" spans="1:22" x14ac:dyDescent="0.3">
      <c r="A62" t="s">
        <v>175</v>
      </c>
      <c r="B62" s="3">
        <f>B63-B61</f>
        <v>-90.794054696789317</v>
      </c>
      <c r="C62" s="3">
        <f t="shared" ref="C62:I62" si="63">C63-C61</f>
        <v>-2556.4531689379191</v>
      </c>
      <c r="D62" s="3">
        <f t="shared" si="63"/>
        <v>-2796.19934506754</v>
      </c>
      <c r="E62" s="3">
        <f t="shared" si="63"/>
        <v>1693.8654335260117</v>
      </c>
      <c r="F62" s="3">
        <f t="shared" si="63"/>
        <v>-648.12080816496564</v>
      </c>
      <c r="G62" s="3">
        <f t="shared" si="63"/>
        <v>-2802.2719085555946</v>
      </c>
      <c r="H62" s="3">
        <f t="shared" si="63"/>
        <v>-1221.2625731872085</v>
      </c>
      <c r="I62" s="3">
        <f t="shared" si="63"/>
        <v>-3730.3524282062863</v>
      </c>
      <c r="J62" s="154">
        <f>$P$62*J3</f>
        <v>-3855.2756252300869</v>
      </c>
      <c r="K62" s="47">
        <f t="shared" ref="K62:N62" si="64">$P$62*K3</f>
        <v>-4125.9098110531295</v>
      </c>
      <c r="L62" s="47">
        <f t="shared" si="64"/>
        <v>-4420.9204987508019</v>
      </c>
      <c r="M62" s="47">
        <f t="shared" si="64"/>
        <v>-4743.3222495602113</v>
      </c>
      <c r="N62" s="47">
        <f t="shared" si="64"/>
        <v>-5096.3761680386642</v>
      </c>
      <c r="O62" s="66">
        <f>(I62-B62)/-I62</f>
        <v>-0.97566073006661014</v>
      </c>
      <c r="P62" s="111">
        <f t="shared" si="52"/>
        <v>-7.9861965921778771E-2</v>
      </c>
    </row>
    <row r="63" spans="1:22" x14ac:dyDescent="0.3">
      <c r="A63" s="27" t="s">
        <v>176</v>
      </c>
      <c r="B63" s="26">
        <f>+[3]Historicals!B78</f>
        <v>4680</v>
      </c>
      <c r="C63" s="26">
        <f>+[3]Historicals!C78</f>
        <v>3096</v>
      </c>
      <c r="D63" s="26">
        <f>+[3]Historicals!D78</f>
        <v>3846</v>
      </c>
      <c r="E63" s="26">
        <f>+[3]Historicals!E78</f>
        <v>4955</v>
      </c>
      <c r="F63" s="26">
        <f>+[3]Historicals!F78</f>
        <v>5903</v>
      </c>
      <c r="G63" s="26">
        <f>+[3]Historicals!G78</f>
        <v>2485</v>
      </c>
      <c r="H63" s="26">
        <f>+[3]Historicals!H78</f>
        <v>6657</v>
      </c>
      <c r="I63" s="26">
        <f>+[3]Historicals!I78</f>
        <v>5188</v>
      </c>
      <c r="J63" s="162">
        <f>SUM(J61:J62)</f>
        <v>5361.7373501921675</v>
      </c>
      <c r="K63" s="26">
        <f t="shared" ref="K63:N63" si="65">SUM(K61:K62)</f>
        <v>5738.1227408682635</v>
      </c>
      <c r="L63" s="26">
        <f t="shared" si="65"/>
        <v>6148.4098322977079</v>
      </c>
      <c r="M63" s="26">
        <f t="shared" si="65"/>
        <v>6596.7911355097167</v>
      </c>
      <c r="N63" s="26">
        <f t="shared" si="65"/>
        <v>7087.8020424729884</v>
      </c>
      <c r="O63" s="66"/>
      <c r="P63" s="111"/>
    </row>
    <row r="64" spans="1:22" x14ac:dyDescent="0.3">
      <c r="A64" t="s">
        <v>217</v>
      </c>
      <c r="B64" s="3">
        <f>+[3]Historicals!B84+[3]Historicals!B85</f>
        <v>-960</v>
      </c>
      <c r="C64" s="3">
        <f>+[3]Historicals!C84+[3]Historicals!C85</f>
        <v>-1133</v>
      </c>
      <c r="D64" s="3">
        <f>+[3]Historicals!D84+[3]Historicals!D85</f>
        <v>-1092</v>
      </c>
      <c r="E64" s="3">
        <f>+[3]Historicals!E84+[3]Historicals!E85</f>
        <v>-1025</v>
      </c>
      <c r="F64" s="3">
        <f>+[3]Historicals!F84+[3]Historicals!F85</f>
        <v>-1114</v>
      </c>
      <c r="G64" s="3">
        <f>+[3]Historicals!G84+[3]Historicals!G85</f>
        <v>-1086</v>
      </c>
      <c r="H64" s="3">
        <f>+[3]Historicals!H84+[3]Historicals!H85</f>
        <v>-695</v>
      </c>
      <c r="I64" s="3">
        <f>+[3]Historicals!I84+[3]Historicals!I85</f>
        <v>-758</v>
      </c>
      <c r="J64" s="154">
        <f>$P$64*J3</f>
        <v>-783.38413867495433</v>
      </c>
      <c r="K64" s="47">
        <f t="shared" ref="K64:N64" si="66">$P$64*K3</f>
        <v>-838.37645288707483</v>
      </c>
      <c r="L64" s="47">
        <f t="shared" si="66"/>
        <v>-898.32202252923344</v>
      </c>
      <c r="M64" s="47">
        <f t="shared" si="66"/>
        <v>-963.83340029228327</v>
      </c>
      <c r="N64" s="47">
        <f t="shared" si="66"/>
        <v>-1035.5732359665624</v>
      </c>
      <c r="O64" s="66">
        <f t="shared" si="51"/>
        <v>-2.9099451195125581E-2</v>
      </c>
      <c r="P64" s="111">
        <f t="shared" si="52"/>
        <v>-1.6227788482123744E-2</v>
      </c>
    </row>
    <row r="65" spans="1:17" x14ac:dyDescent="0.3">
      <c r="A65" t="s">
        <v>177</v>
      </c>
      <c r="B65" s="3">
        <f>+[3]Historicals!B86+[3]Historicals!B83+[3]Historicals!B82+[3]Historicals!B81+[3]Historicals!B80</f>
        <v>785</v>
      </c>
      <c r="C65" s="3">
        <f>+[3]Historicals!C86+[3]Historicals!C83+[3]Historicals!C82+[3]Historicals!C81+[3]Historicals!C80</f>
        <v>99</v>
      </c>
      <c r="D65" s="3">
        <f>+[3]Historicals!D86+[3]Historicals!D83+[3]Historicals!D82+[3]Historicals!D81+[3]Historicals!D80</f>
        <v>84</v>
      </c>
      <c r="E65" s="3">
        <f>+[3]Historicals!E86+[3]Historicals!E83+[3]Historicals!E82+[3]Historicals!E81+[3]Historicals!E80</f>
        <v>1301</v>
      </c>
      <c r="F65" s="3">
        <f>+[3]Historicals!F86+[3]Historicals!F83+[3]Historicals!F82+[3]Historicals!F81+[3]Historicals!F80</f>
        <v>850</v>
      </c>
      <c r="G65" s="3">
        <f>+[3]Historicals!G86+[3]Historicals!G83+[3]Historicals!G82+[3]Historicals!G81+[3]Historicals!G80</f>
        <v>58</v>
      </c>
      <c r="H65" s="3">
        <f>+[3]Historicals!H86+[3]Historicals!H83+[3]Historicals!H82+[3]Historicals!H81+[3]Historicals!H80</f>
        <v>-3105</v>
      </c>
      <c r="I65" s="3">
        <f>+[3]Historicals!I86+[3]Historicals!I83+[3]Historicals!I82+[3]Historicals!I81+[3]Historicals!I80</f>
        <v>-766</v>
      </c>
      <c r="J65" s="154">
        <f>$P$65*J3</f>
        <v>-791.6520451517348</v>
      </c>
      <c r="K65" s="47">
        <f t="shared" ref="K65:N65" si="67">$P$65*K3</f>
        <v>-847.22475318139743</v>
      </c>
      <c r="L65" s="47">
        <f t="shared" si="67"/>
        <v>-907.80299374326228</v>
      </c>
      <c r="M65" s="47">
        <f t="shared" si="67"/>
        <v>-974.00578446423344</v>
      </c>
      <c r="N65" s="47">
        <f t="shared" si="67"/>
        <v>-1046.5027687999825</v>
      </c>
      <c r="O65" s="66">
        <f>(I65-B65)/-I65</f>
        <v>-2.024804177545692</v>
      </c>
      <c r="P65" s="111">
        <f t="shared" si="52"/>
        <v>-1.6399058017555129E-2</v>
      </c>
    </row>
    <row r="66" spans="1:17" x14ac:dyDescent="0.3">
      <c r="A66" s="27" t="s">
        <v>178</v>
      </c>
      <c r="B66" s="26">
        <f>+[3]Historicals!B87</f>
        <v>-175</v>
      </c>
      <c r="C66" s="26">
        <f>+[3]Historicals!C87</f>
        <v>-1034</v>
      </c>
      <c r="D66" s="26">
        <f>+[3]Historicals!D87</f>
        <v>-1008</v>
      </c>
      <c r="E66" s="26">
        <f>+[3]Historicals!E87</f>
        <v>276</v>
      </c>
      <c r="F66" s="26">
        <f>+[3]Historicals!F87</f>
        <v>-264</v>
      </c>
      <c r="G66" s="26">
        <f>+[3]Historicals!G87</f>
        <v>-1028</v>
      </c>
      <c r="H66" s="26">
        <f>+[3]Historicals!H87</f>
        <v>-3800</v>
      </c>
      <c r="I66" s="26">
        <f>+[3]Historicals!I87</f>
        <v>-1524</v>
      </c>
      <c r="J66" s="162">
        <f>SUM(J64:J65)</f>
        <v>-1575.036183826689</v>
      </c>
      <c r="K66" s="26">
        <f t="shared" ref="K66:N66" si="68">SUM(K64:K65)</f>
        <v>-1685.6012060684723</v>
      </c>
      <c r="L66" s="26">
        <f t="shared" si="68"/>
        <v>-1806.1250162724957</v>
      </c>
      <c r="M66" s="26">
        <f t="shared" si="68"/>
        <v>-1937.8391847565167</v>
      </c>
      <c r="N66" s="26">
        <f t="shared" si="68"/>
        <v>-2082.0760047665449</v>
      </c>
      <c r="O66" s="66"/>
      <c r="P66" s="111"/>
      <c r="Q66" s="143" t="s">
        <v>236</v>
      </c>
    </row>
    <row r="67" spans="1:17" x14ac:dyDescent="0.3">
      <c r="A67" t="s">
        <v>218</v>
      </c>
      <c r="B67" s="3">
        <f>[4]Historicals!B94</f>
        <v>-2534</v>
      </c>
      <c r="C67" s="3">
        <f>[4]Historicals!C94</f>
        <v>281</v>
      </c>
      <c r="D67" s="3">
        <f>[4]Historicals!D94</f>
        <v>-3223</v>
      </c>
      <c r="E67" s="3">
        <f>[4]Historicals!E94</f>
        <v>-4254</v>
      </c>
      <c r="F67" s="3">
        <f>[4]Historicals!F94</f>
        <v>-4286</v>
      </c>
      <c r="G67" s="3">
        <f>[4]Historicals!G94</f>
        <v>-3067</v>
      </c>
      <c r="H67" s="3">
        <f>[4]Historicals!H94</f>
        <v>-608</v>
      </c>
      <c r="I67" s="3">
        <f>[4]Historicals!I94</f>
        <v>-4014</v>
      </c>
      <c r="J67" s="160">
        <v>-3000</v>
      </c>
      <c r="K67" s="144">
        <v>-3000</v>
      </c>
      <c r="L67" s="144">
        <v>-3000</v>
      </c>
      <c r="M67" s="144">
        <v>-3000</v>
      </c>
      <c r="N67" s="144">
        <v>-3000</v>
      </c>
      <c r="O67" s="66"/>
      <c r="P67" s="145"/>
      <c r="Q67" s="123" t="s">
        <v>229</v>
      </c>
    </row>
    <row r="68" spans="1:17" x14ac:dyDescent="0.3">
      <c r="A68" s="48" t="s">
        <v>127</v>
      </c>
      <c r="B68" s="49" t="str">
        <f>+IFERROR(B67/A67-1,"nm")</f>
        <v>nm</v>
      </c>
      <c r="C68" s="49">
        <f t="shared" ref="C68:N68" si="69">+IFERROR(C67/B67-1,"nm")</f>
        <v>-1.1108918705603787</v>
      </c>
      <c r="D68" s="49">
        <f t="shared" si="69"/>
        <v>-12.469750889679716</v>
      </c>
      <c r="E68" s="49">
        <f t="shared" si="69"/>
        <v>0.31988830282345648</v>
      </c>
      <c r="F68" s="49">
        <f t="shared" si="69"/>
        <v>7.5223319228960861E-3</v>
      </c>
      <c r="G68" s="49">
        <f t="shared" si="69"/>
        <v>-0.28441437237517497</v>
      </c>
      <c r="H68" s="49">
        <f t="shared" si="69"/>
        <v>-0.80176067818715357</v>
      </c>
      <c r="I68" s="49">
        <f t="shared" si="69"/>
        <v>5.6019736842105265</v>
      </c>
      <c r="J68" s="153">
        <f t="shared" si="69"/>
        <v>-0.25261584454409569</v>
      </c>
      <c r="K68" s="49">
        <f t="shared" si="69"/>
        <v>0</v>
      </c>
      <c r="L68" s="49">
        <f t="shared" si="69"/>
        <v>0</v>
      </c>
      <c r="M68" s="49">
        <f t="shared" si="69"/>
        <v>0</v>
      </c>
      <c r="N68" s="49">
        <f t="shared" si="69"/>
        <v>0</v>
      </c>
      <c r="O68" s="66"/>
      <c r="P68" s="111"/>
    </row>
    <row r="69" spans="1:17" x14ac:dyDescent="0.3">
      <c r="A69" t="s">
        <v>179</v>
      </c>
      <c r="B69" s="3">
        <f>+[3]Historicals!B95</f>
        <v>-899</v>
      </c>
      <c r="C69" s="3">
        <f>+[3]Historicals!C95</f>
        <v>-3238</v>
      </c>
      <c r="D69" s="3">
        <f>+[3]Historicals!D95</f>
        <v>-1133</v>
      </c>
      <c r="E69" s="3">
        <f>+[3]Historicals!E95</f>
        <v>-1243</v>
      </c>
      <c r="F69" s="3">
        <f>+[3]Historicals!F95</f>
        <v>-1332</v>
      </c>
      <c r="G69" s="3">
        <f>+[3]Historicals!G95</f>
        <v>-1452</v>
      </c>
      <c r="H69" s="3">
        <f>+[3]Historicals!H95</f>
        <v>-1638</v>
      </c>
      <c r="I69" s="3">
        <f>+[3]Historicals!I95</f>
        <v>-1837</v>
      </c>
      <c r="J69" s="154">
        <f>$P$69*J3</f>
        <v>-2413.7119470651132</v>
      </c>
      <c r="K69" s="146">
        <f>$P$69*K3</f>
        <v>-2583.1506671738298</v>
      </c>
      <c r="L69" s="146">
        <f>$P$69*L3</f>
        <v>-2767.8510337955468</v>
      </c>
      <c r="M69" s="146">
        <f>$P$69*M3</f>
        <v>-2969.700404198717</v>
      </c>
      <c r="N69" s="146">
        <f>$P$69*N3</f>
        <v>-3190.7404915566049</v>
      </c>
      <c r="O69" s="66">
        <f t="shared" si="51"/>
        <v>9.3436792287096226E-2</v>
      </c>
      <c r="P69" s="111">
        <v>-0.05</v>
      </c>
      <c r="Q69" s="123"/>
    </row>
    <row r="70" spans="1:17" x14ac:dyDescent="0.3">
      <c r="A70" t="s">
        <v>180</v>
      </c>
      <c r="B70" s="3">
        <f>+[3]Historicals!B89+[3]Historicals!B91</f>
        <v>-7</v>
      </c>
      <c r="C70" s="3">
        <f>+[3]Historicals!C89+[3]Historicals!C91</f>
        <v>914</v>
      </c>
      <c r="D70" s="3">
        <f>+[3]Historicals!D89+[3]Historicals!D91</f>
        <v>1438</v>
      </c>
      <c r="E70" s="3">
        <f>+[3]Historicals!E89+[3]Historicals!E91</f>
        <v>-6</v>
      </c>
      <c r="F70" s="3">
        <f>+[3]Historicals!F89+[3]Historicals!F91</f>
        <v>-6</v>
      </c>
      <c r="G70" s="3">
        <f>+[3]Historicals!G89+[3]Historicals!G91</f>
        <v>6134</v>
      </c>
      <c r="H70" s="3">
        <f>+[3]Historicals!H89+[3]Historicals!H91</f>
        <v>-197</v>
      </c>
      <c r="I70" s="3">
        <f>+[3]Historicals!I89+[3]Historicals!I91</f>
        <v>0</v>
      </c>
      <c r="J70" s="160">
        <f>$P$70*J3</f>
        <v>0</v>
      </c>
      <c r="K70" s="144">
        <v>2000</v>
      </c>
      <c r="L70" s="144">
        <v>-1000</v>
      </c>
      <c r="M70" s="144">
        <v>-1000</v>
      </c>
      <c r="N70" s="144">
        <v>0</v>
      </c>
      <c r="O70" s="66"/>
      <c r="P70" s="111"/>
      <c r="Q70" s="123" t="s">
        <v>219</v>
      </c>
    </row>
    <row r="71" spans="1:17" x14ac:dyDescent="0.3">
      <c r="A71" t="s">
        <v>181</v>
      </c>
      <c r="B71" s="3">
        <f>+[3]Historicals!B90+[3]Historicals!B93+[3]Historicals!B96</f>
        <v>136</v>
      </c>
      <c r="C71" s="3">
        <f>+[3]Historicals!C90+[3]Historicals!C93+[3]Historicals!C96</f>
        <v>-621</v>
      </c>
      <c r="D71" s="3">
        <f>+[3]Historicals!D90+[3]Historicals!D93+[3]Historicals!D96</f>
        <v>787</v>
      </c>
      <c r="E71" s="3">
        <f>+[3]Historicals!E90+[3]Historicals!E93+[3]Historicals!E96</f>
        <v>691</v>
      </c>
      <c r="F71" s="3">
        <f>+[3]Historicals!F90+[3]Historicals!F93+[3]Historicals!F96</f>
        <v>358</v>
      </c>
      <c r="G71" s="3">
        <f>+[3]Historicals!G90+[3]Historicals!G93+[3]Historicals!G96</f>
        <v>-9</v>
      </c>
      <c r="H71" s="3">
        <f>+[3]Historicals!H90+[3]Historicals!H93+[3]Historicals!H96</f>
        <v>-188</v>
      </c>
      <c r="I71" s="3">
        <f>+[3]Historicals!I90+[3]Historicals!I93+[3]Historicals!I96</f>
        <v>-136</v>
      </c>
      <c r="J71" s="154">
        <f>$P$71*J3</f>
        <v>-140.55441010526883</v>
      </c>
      <c r="K71" s="146">
        <f>$P$71*K3</f>
        <v>-150.42110500348568</v>
      </c>
      <c r="L71" s="146">
        <f>$P$71*L3</f>
        <v>-161.17651063849041</v>
      </c>
      <c r="M71" s="146">
        <f>$P$71*M3</f>
        <v>-172.9305309231537</v>
      </c>
      <c r="N71" s="146">
        <f>$P$71*N3</f>
        <v>-185.80205816814311</v>
      </c>
      <c r="O71" s="66">
        <f>(I71-B71)/-I71</f>
        <v>-2</v>
      </c>
      <c r="P71" s="111">
        <f t="shared" si="52"/>
        <v>-2.9115821023335473E-3</v>
      </c>
    </row>
    <row r="72" spans="1:17" x14ac:dyDescent="0.3">
      <c r="A72" s="27" t="s">
        <v>182</v>
      </c>
      <c r="B72" s="26">
        <f>+[3]Historicals!B97</f>
        <v>-2790</v>
      </c>
      <c r="C72" s="26">
        <f>+[3]Historicals!C97</f>
        <v>-2671</v>
      </c>
      <c r="D72" s="26">
        <f>+[3]Historicals!D97</f>
        <v>-2148</v>
      </c>
      <c r="E72" s="26">
        <f>+[3]Historicals!E97</f>
        <v>-4835</v>
      </c>
      <c r="F72" s="26">
        <f>+[3]Historicals!F97</f>
        <v>-5293</v>
      </c>
      <c r="G72" s="26">
        <f>+[3]Historicals!G97</f>
        <v>2491</v>
      </c>
      <c r="H72" s="26">
        <f>+[3]Historicals!H97</f>
        <v>-1459</v>
      </c>
      <c r="I72" s="26">
        <f>+[3]Historicals!I97</f>
        <v>-4836</v>
      </c>
      <c r="J72" s="162">
        <f>SUM(J67:J71)</f>
        <v>-5554.5189730149268</v>
      </c>
      <c r="K72" s="26">
        <f>SUM(K67:K71)</f>
        <v>-3733.5717721773153</v>
      </c>
      <c r="L72" s="26">
        <f>SUM(L67:L71)</f>
        <v>-6929.0275444340368</v>
      </c>
      <c r="M72" s="26">
        <f>SUM(M67:M71)</f>
        <v>-7142.6309351218706</v>
      </c>
      <c r="N72" s="26">
        <f>SUM(N67:N71)</f>
        <v>-6376.5425497247479</v>
      </c>
      <c r="O72" s="66">
        <f>(I72-B72)/-I72</f>
        <v>-0.42307692307692307</v>
      </c>
      <c r="P72" s="111">
        <f t="shared" si="52"/>
        <v>-0.10353243416827232</v>
      </c>
    </row>
    <row r="73" spans="1:17" x14ac:dyDescent="0.3">
      <c r="A73" t="s">
        <v>183</v>
      </c>
      <c r="B73" s="3">
        <f>+[3]Historicals!B98</f>
        <v>-83</v>
      </c>
      <c r="C73" s="3">
        <f>+[3]Historicals!C98</f>
        <v>-105</v>
      </c>
      <c r="D73" s="3">
        <f>+[3]Historicals!D98</f>
        <v>-20</v>
      </c>
      <c r="E73" s="3">
        <f>+[3]Historicals!E98</f>
        <v>45</v>
      </c>
      <c r="F73" s="3">
        <f>+[3]Historicals!F98</f>
        <v>-129</v>
      </c>
      <c r="G73" s="3">
        <f>+[3]Historicals!G98</f>
        <v>-66</v>
      </c>
      <c r="H73" s="3">
        <f>+[3]Historicals!H98</f>
        <v>143</v>
      </c>
      <c r="I73" s="3">
        <f>+[3]Historicals!I98</f>
        <v>-143</v>
      </c>
      <c r="J73" s="154">
        <f>$P$73*J3</f>
        <v>-147.78882827245181</v>
      </c>
      <c r="K73" s="146">
        <f>$P$73*K3</f>
        <v>-158.16336776101807</v>
      </c>
      <c r="L73" s="146">
        <f>$P$73*L3</f>
        <v>-169.47236045076565</v>
      </c>
      <c r="M73" s="146">
        <f>$P$73*M3</f>
        <v>-181.83136707361015</v>
      </c>
      <c r="N73" s="146">
        <f>$P$73*N3</f>
        <v>-195.36539939738577</v>
      </c>
      <c r="O73" s="66">
        <f t="shared" si="51"/>
        <v>7.0365846667057363E-2</v>
      </c>
      <c r="P73" s="111">
        <f t="shared" si="52"/>
        <v>-3.0614429458360095E-3</v>
      </c>
      <c r="Q73" s="123" t="s">
        <v>243</v>
      </c>
    </row>
    <row r="74" spans="1:17" x14ac:dyDescent="0.3">
      <c r="A74" s="27" t="s">
        <v>184</v>
      </c>
      <c r="B74" s="26">
        <f>+[3]Historicals!B99</f>
        <v>1632</v>
      </c>
      <c r="C74" s="26">
        <f>+[3]Historicals!C99</f>
        <v>-714</v>
      </c>
      <c r="D74" s="26">
        <f>+[3]Historicals!D99</f>
        <v>670</v>
      </c>
      <c r="E74" s="26">
        <f>+[3]Historicals!E99</f>
        <v>441</v>
      </c>
      <c r="F74" s="26">
        <f>+[3]Historicals!F99</f>
        <v>217</v>
      </c>
      <c r="G74" s="26">
        <f>+[3]Historicals!G99</f>
        <v>3882</v>
      </c>
      <c r="H74" s="26">
        <f>+[3]Historicals!H99</f>
        <v>1541</v>
      </c>
      <c r="I74" s="26">
        <f>+[3]Historicals!I99</f>
        <v>-1315</v>
      </c>
      <c r="J74" s="163">
        <f>SUM(J63,J66,J72,J73)</f>
        <v>-1915.6066349219002</v>
      </c>
      <c r="K74" s="147">
        <f>SUM(K63,K66,K72,K73)</f>
        <v>160.78639486145758</v>
      </c>
      <c r="L74" s="147">
        <f>SUM(L63,L66,L72,L73)</f>
        <v>-2756.2150888595902</v>
      </c>
      <c r="M74" s="147">
        <f>SUM(M63,M66,M72,M73)</f>
        <v>-2665.5103514422804</v>
      </c>
      <c r="N74" s="147">
        <f>SUM(N63,N66,N72,N73)</f>
        <v>-1566.1819114156906</v>
      </c>
      <c r="O74" s="66"/>
      <c r="P74" s="111"/>
    </row>
    <row r="75" spans="1:17" x14ac:dyDescent="0.3">
      <c r="A75" t="s">
        <v>185</v>
      </c>
      <c r="B75" s="3">
        <f>+[3]Historicals!B100</f>
        <v>2220</v>
      </c>
      <c r="C75" s="3">
        <f>+[3]Historicals!C100</f>
        <v>3852</v>
      </c>
      <c r="D75" s="3">
        <f>+[3]Historicals!D100</f>
        <v>3138</v>
      </c>
      <c r="E75" s="3">
        <f>+[3]Historicals!E100</f>
        <v>3808</v>
      </c>
      <c r="F75" s="3">
        <f>+[3]Historicals!F100</f>
        <v>4249</v>
      </c>
      <c r="G75" s="3">
        <f>+[3]Historicals!G100</f>
        <v>4466</v>
      </c>
      <c r="H75" s="3">
        <f>+[3]Historicals!H100</f>
        <v>8348</v>
      </c>
      <c r="I75" s="3">
        <f>+[3]Historicals!I100</f>
        <v>9889</v>
      </c>
      <c r="J75" s="159">
        <f>I76</f>
        <v>8574</v>
      </c>
      <c r="K75" s="3">
        <f t="shared" ref="K75:N75" si="70">J76</f>
        <v>6658.3933650781</v>
      </c>
      <c r="L75" s="3">
        <f t="shared" si="70"/>
        <v>6819.1797599395577</v>
      </c>
      <c r="M75" s="3">
        <f t="shared" si="70"/>
        <v>4062.9646710799675</v>
      </c>
      <c r="N75" s="3">
        <f t="shared" si="70"/>
        <v>1397.4543196376871</v>
      </c>
      <c r="O75" s="66">
        <f t="shared" si="51"/>
        <v>0.20531323479494157</v>
      </c>
      <c r="P75" s="111">
        <f t="shared" si="52"/>
        <v>0.21171055448512097</v>
      </c>
    </row>
    <row r="76" spans="1:17" ht="15" thickBot="1" x14ac:dyDescent="0.35">
      <c r="A76" s="6" t="s">
        <v>186</v>
      </c>
      <c r="B76" s="7">
        <f>B75+B74</f>
        <v>3852</v>
      </c>
      <c r="C76" s="7">
        <f t="shared" ref="C76:N76" si="71">C75+C74</f>
        <v>3138</v>
      </c>
      <c r="D76" s="7">
        <f t="shared" si="71"/>
        <v>3808</v>
      </c>
      <c r="E76" s="7">
        <f t="shared" si="71"/>
        <v>4249</v>
      </c>
      <c r="F76" s="7">
        <f t="shared" si="71"/>
        <v>4466</v>
      </c>
      <c r="G76" s="7">
        <f t="shared" si="71"/>
        <v>8348</v>
      </c>
      <c r="H76" s="7">
        <f t="shared" si="71"/>
        <v>9889</v>
      </c>
      <c r="I76" s="7">
        <f t="shared" si="71"/>
        <v>8574</v>
      </c>
      <c r="J76" s="156">
        <f>J75+J74</f>
        <v>6658.3933650781</v>
      </c>
      <c r="K76" s="7">
        <f t="shared" si="71"/>
        <v>6819.1797599395577</v>
      </c>
      <c r="L76" s="7">
        <f t="shared" si="71"/>
        <v>4062.9646710799675</v>
      </c>
      <c r="M76" s="7">
        <f t="shared" si="71"/>
        <v>1397.4543196376871</v>
      </c>
      <c r="N76" s="7">
        <f t="shared" si="71"/>
        <v>-168.72759177800344</v>
      </c>
      <c r="O76" s="66">
        <f t="shared" si="51"/>
        <v>0.10519051765993548</v>
      </c>
      <c r="P76" s="111">
        <f t="shared" si="52"/>
        <v>0.18355812459858703</v>
      </c>
    </row>
    <row r="77" spans="1:17" ht="15" thickTop="1" x14ac:dyDescent="0.3">
      <c r="A77" s="1" t="s">
        <v>187</v>
      </c>
      <c r="B77" s="44">
        <f>SUM(B39:B45)-(B25)</f>
        <v>5038</v>
      </c>
      <c r="C77" s="44">
        <f t="shared" ref="C77:N77" si="72">SUM(C39:C45)-C25</f>
        <v>6000</v>
      </c>
      <c r="D77" s="44">
        <f t="shared" si="72"/>
        <v>7044</v>
      </c>
      <c r="E77" s="44">
        <f t="shared" si="72"/>
        <v>8475</v>
      </c>
      <c r="F77" s="44">
        <f t="shared" si="72"/>
        <v>10211</v>
      </c>
      <c r="G77" s="44">
        <f t="shared" si="72"/>
        <v>14939</v>
      </c>
      <c r="H77" s="44">
        <f t="shared" si="72"/>
        <v>15084</v>
      </c>
      <c r="I77" s="44">
        <f t="shared" si="72"/>
        <v>16466</v>
      </c>
      <c r="J77" s="78">
        <f t="shared" si="72"/>
        <v>19338.463496074768</v>
      </c>
      <c r="K77" s="44">
        <f t="shared" si="72"/>
        <v>21454.147954179985</v>
      </c>
      <c r="L77" s="44">
        <f t="shared" si="72"/>
        <v>26154.311585215481</v>
      </c>
      <c r="M77" s="44">
        <f t="shared" si="72"/>
        <v>30962.157659645145</v>
      </c>
      <c r="N77" s="44">
        <f t="shared" si="72"/>
        <v>33857.0591771209</v>
      </c>
      <c r="O77" s="66">
        <f t="shared" si="51"/>
        <v>0.15955470783954406</v>
      </c>
      <c r="P77" s="111">
        <f t="shared" si="52"/>
        <v>0.35251552130164848</v>
      </c>
    </row>
    <row r="78" spans="1:17" x14ac:dyDescent="0.3">
      <c r="B78" s="52"/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2024-11-25T20:58:43Z</dcterms:modified>
</cp:coreProperties>
</file>