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307" documentId="8_{F4E478AE-08F1-4F2F-8C46-020C0139F100}" xr6:coauthVersionLast="47" xr6:coauthVersionMax="47" xr10:uidLastSave="{7A27714B-D077-4AF8-8912-768187BD13D9}"/>
  <bookViews>
    <workbookView xWindow="-108" yWindow="-108" windowWidth="23256" windowHeight="12456" activeTab="2" xr2:uid="{00000000-000D-0000-FFFF-FFFF00000000}"/>
  </bookViews>
  <sheets>
    <sheet name="Three Statements" sheetId="5" r:id="rId1"/>
    <sheet name="Schedules" sheetId="3" r:id="rId2"/>
    <sheet name="Investment Notes" sheetId="2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G11" i="2"/>
  <c r="H11" i="2"/>
  <c r="F11" i="2"/>
  <c r="F18" i="2"/>
  <c r="G18" i="2"/>
  <c r="H18" i="2"/>
  <c r="E18" i="2"/>
  <c r="F10" i="2"/>
  <c r="G10" i="2"/>
  <c r="H10" i="2"/>
  <c r="F9" i="2"/>
  <c r="G9" i="2"/>
  <c r="H9" i="2"/>
  <c r="F8" i="2"/>
  <c r="G8" i="2"/>
  <c r="H8" i="2"/>
  <c r="F7" i="2"/>
  <c r="G7" i="2"/>
  <c r="H7" i="2"/>
  <c r="F6" i="2"/>
  <c r="G6" i="2"/>
  <c r="H6" i="2"/>
  <c r="F5" i="2"/>
  <c r="G5" i="2"/>
  <c r="H5" i="2"/>
  <c r="F22" i="2"/>
  <c r="G22" i="2"/>
  <c r="H22" i="2"/>
  <c r="E22" i="2"/>
  <c r="F20" i="2"/>
  <c r="G20" i="2"/>
  <c r="H20" i="2"/>
  <c r="E20" i="2"/>
  <c r="F21" i="2"/>
  <c r="G21" i="2"/>
  <c r="H21" i="2"/>
  <c r="E21" i="2"/>
  <c r="F19" i="2"/>
  <c r="G19" i="2"/>
  <c r="H19" i="2"/>
  <c r="E19" i="2"/>
  <c r="F17" i="2"/>
  <c r="G17" i="2"/>
  <c r="H17" i="2"/>
  <c r="F16" i="2"/>
  <c r="G16" i="2"/>
  <c r="H16" i="2"/>
  <c r="E17" i="2"/>
  <c r="E16" i="2"/>
  <c r="E12" i="2"/>
  <c r="E11" i="2"/>
  <c r="E10" i="2"/>
  <c r="E9" i="2"/>
  <c r="E8" i="2"/>
  <c r="E7" i="2"/>
  <c r="E6" i="2"/>
  <c r="E5" i="2"/>
  <c r="D1" i="5"/>
  <c r="C1" i="5" s="1"/>
  <c r="B1" i="5" s="1"/>
  <c r="H1" i="5"/>
  <c r="G1" i="5" s="1"/>
  <c r="F1" i="5" s="1"/>
  <c r="E1" i="5" s="1"/>
  <c r="J1" i="5"/>
  <c r="K1" i="5" s="1"/>
  <c r="L1" i="5" s="1"/>
  <c r="M1" i="5" s="1"/>
  <c r="N1" i="5" s="1"/>
  <c r="B3" i="5"/>
  <c r="B9" i="5" s="1"/>
  <c r="C3" i="5"/>
  <c r="D3" i="5"/>
  <c r="D4" i="5" s="1"/>
  <c r="E3" i="5"/>
  <c r="E9" i="5" s="1"/>
  <c r="F3" i="5"/>
  <c r="G3" i="5"/>
  <c r="H3" i="5"/>
  <c r="I3" i="5"/>
  <c r="P42" i="5" s="1"/>
  <c r="J3" i="5"/>
  <c r="K3" i="5"/>
  <c r="L3" i="5"/>
  <c r="M3" i="5"/>
  <c r="M4" i="5" s="1"/>
  <c r="N3" i="5"/>
  <c r="N50" i="5" s="1"/>
  <c r="E4" i="5"/>
  <c r="F4" i="5"/>
  <c r="G4" i="5"/>
  <c r="H4" i="5"/>
  <c r="I4" i="5"/>
  <c r="K4" i="5"/>
  <c r="B5" i="5"/>
  <c r="C5" i="5"/>
  <c r="D5" i="5"/>
  <c r="E5" i="5"/>
  <c r="F5" i="5"/>
  <c r="G5" i="5"/>
  <c r="H5" i="5"/>
  <c r="I5" i="5"/>
  <c r="O5" i="5" s="1"/>
  <c r="J5" i="5"/>
  <c r="K5" i="5"/>
  <c r="L5" i="5"/>
  <c r="M5" i="5"/>
  <c r="N5" i="5"/>
  <c r="B6" i="5"/>
  <c r="C6" i="5"/>
  <c r="D6" i="5"/>
  <c r="E6" i="5"/>
  <c r="F6" i="5"/>
  <c r="G6" i="5"/>
  <c r="H6" i="5"/>
  <c r="I6" i="5"/>
  <c r="O6" i="5" s="1"/>
  <c r="J6" i="5"/>
  <c r="K6" i="5"/>
  <c r="L6" i="5"/>
  <c r="M6" i="5"/>
  <c r="N6" i="5"/>
  <c r="B7" i="5"/>
  <c r="B8" i="5" s="1"/>
  <c r="C7" i="5"/>
  <c r="D7" i="5"/>
  <c r="D9" i="5" s="1"/>
  <c r="E7" i="5"/>
  <c r="F7" i="5"/>
  <c r="F8" i="5" s="1"/>
  <c r="G7" i="5"/>
  <c r="G9" i="5" s="1"/>
  <c r="H7" i="5"/>
  <c r="I7" i="5"/>
  <c r="J7" i="5"/>
  <c r="K8" i="5" s="1"/>
  <c r="K7" i="5"/>
  <c r="L7" i="5"/>
  <c r="M7" i="5"/>
  <c r="N7" i="5"/>
  <c r="N8" i="5" s="1"/>
  <c r="P7" i="5"/>
  <c r="H8" i="5"/>
  <c r="I8" i="5"/>
  <c r="J8" i="5"/>
  <c r="L8" i="5"/>
  <c r="M8" i="5"/>
  <c r="C9" i="5"/>
  <c r="F9" i="5"/>
  <c r="H9" i="5"/>
  <c r="J9" i="5"/>
  <c r="K9" i="5"/>
  <c r="L9" i="5"/>
  <c r="B10" i="5"/>
  <c r="O10" i="5" s="1"/>
  <c r="C10" i="5"/>
  <c r="D10" i="5"/>
  <c r="E10" i="5"/>
  <c r="F10" i="5"/>
  <c r="G11" i="5" s="1"/>
  <c r="G10" i="5"/>
  <c r="H10" i="5"/>
  <c r="I10" i="5"/>
  <c r="B11" i="5"/>
  <c r="C11" i="5"/>
  <c r="D11" i="5"/>
  <c r="E11" i="5"/>
  <c r="F11" i="5"/>
  <c r="H11" i="5"/>
  <c r="B12" i="5"/>
  <c r="B13" i="5" s="1"/>
  <c r="C12" i="5"/>
  <c r="D12" i="5"/>
  <c r="E12" i="5"/>
  <c r="E13" i="5" s="1"/>
  <c r="F12" i="5"/>
  <c r="G13" i="5" s="1"/>
  <c r="G12" i="5"/>
  <c r="H12" i="5"/>
  <c r="H13" i="5" s="1"/>
  <c r="I12" i="5"/>
  <c r="I13" i="5" s="1"/>
  <c r="O12" i="5"/>
  <c r="C13" i="5"/>
  <c r="D13" i="5"/>
  <c r="F13" i="5"/>
  <c r="B14" i="5"/>
  <c r="O14" i="5" s="1"/>
  <c r="C14" i="5"/>
  <c r="D14" i="5"/>
  <c r="E14" i="5"/>
  <c r="F14" i="5"/>
  <c r="G14" i="5"/>
  <c r="H14" i="5"/>
  <c r="I14" i="5"/>
  <c r="P14" i="5" s="1"/>
  <c r="J14" i="5" s="1"/>
  <c r="N14" i="5"/>
  <c r="C15" i="5"/>
  <c r="G15" i="5"/>
  <c r="H15" i="5"/>
  <c r="I15" i="5"/>
  <c r="B16" i="5"/>
  <c r="O16" i="5" s="1"/>
  <c r="C16" i="5"/>
  <c r="D16" i="5"/>
  <c r="E16" i="5"/>
  <c r="F16" i="5"/>
  <c r="G16" i="5"/>
  <c r="H16" i="5"/>
  <c r="I16" i="5"/>
  <c r="P16" i="5" s="1"/>
  <c r="B17" i="5"/>
  <c r="O18" i="5" s="1"/>
  <c r="C17" i="5"/>
  <c r="D17" i="5"/>
  <c r="E17" i="5"/>
  <c r="F17" i="5"/>
  <c r="G17" i="5"/>
  <c r="H17" i="5"/>
  <c r="I17" i="5"/>
  <c r="B18" i="5"/>
  <c r="B22" i="5" s="1"/>
  <c r="C18" i="5"/>
  <c r="C22" i="5" s="1"/>
  <c r="D18" i="5"/>
  <c r="D19" i="5" s="1"/>
  <c r="E18" i="5"/>
  <c r="F18" i="5"/>
  <c r="F22" i="5" s="1"/>
  <c r="G18" i="5"/>
  <c r="H18" i="5"/>
  <c r="H19" i="5" s="1"/>
  <c r="I18" i="5"/>
  <c r="I19" i="5" s="1"/>
  <c r="P18" i="5"/>
  <c r="B19" i="5"/>
  <c r="F19" i="5"/>
  <c r="G19" i="5"/>
  <c r="B20" i="5"/>
  <c r="C20" i="5"/>
  <c r="D20" i="5"/>
  <c r="E20" i="5"/>
  <c r="F20" i="5"/>
  <c r="G20" i="5"/>
  <c r="G21" i="5" s="1"/>
  <c r="H20" i="5"/>
  <c r="I20" i="5"/>
  <c r="I21" i="5" s="1"/>
  <c r="B21" i="5"/>
  <c r="C21" i="5"/>
  <c r="F21" i="5"/>
  <c r="D22" i="5"/>
  <c r="E22" i="5"/>
  <c r="H22" i="5"/>
  <c r="B25" i="5"/>
  <c r="C25" i="5"/>
  <c r="D25" i="5"/>
  <c r="E25" i="5"/>
  <c r="F25" i="5"/>
  <c r="F77" i="5" s="1"/>
  <c r="G25" i="5"/>
  <c r="H25" i="5"/>
  <c r="I25" i="5"/>
  <c r="B26" i="5"/>
  <c r="O26" i="5" s="1"/>
  <c r="C26" i="5"/>
  <c r="D26" i="5"/>
  <c r="E59" i="5" s="1"/>
  <c r="E26" i="5"/>
  <c r="E27" i="5" s="1"/>
  <c r="F26" i="5"/>
  <c r="F59" i="5" s="1"/>
  <c r="G26" i="5"/>
  <c r="H59" i="5" s="1"/>
  <c r="H26" i="5"/>
  <c r="H27" i="5" s="1"/>
  <c r="I26" i="5"/>
  <c r="P26" i="5"/>
  <c r="J26" i="5" s="1"/>
  <c r="J27" i="5" s="1"/>
  <c r="C27" i="5"/>
  <c r="F27" i="5"/>
  <c r="G27" i="5"/>
  <c r="B28" i="5"/>
  <c r="C28" i="5"/>
  <c r="D28" i="5"/>
  <c r="E28" i="5"/>
  <c r="F28" i="5"/>
  <c r="G28" i="5"/>
  <c r="H28" i="5"/>
  <c r="I28" i="5"/>
  <c r="O28" i="5"/>
  <c r="B29" i="5"/>
  <c r="C29" i="5"/>
  <c r="D29" i="5"/>
  <c r="E29" i="5"/>
  <c r="F29" i="5"/>
  <c r="G29" i="5"/>
  <c r="H29" i="5"/>
  <c r="I29" i="5"/>
  <c r="P29" i="5" s="1"/>
  <c r="B30" i="5"/>
  <c r="C30" i="5"/>
  <c r="D30" i="5"/>
  <c r="E30" i="5"/>
  <c r="F30" i="5"/>
  <c r="G30" i="5"/>
  <c r="H30" i="5"/>
  <c r="I30" i="5"/>
  <c r="O30" i="5" s="1"/>
  <c r="S30" i="5"/>
  <c r="K41" i="5" s="1"/>
  <c r="B32" i="5"/>
  <c r="O32" i="5" s="1"/>
  <c r="C32" i="5"/>
  <c r="D32" i="5"/>
  <c r="E32" i="5"/>
  <c r="F32" i="5"/>
  <c r="G32" i="5"/>
  <c r="H32" i="5"/>
  <c r="I32" i="5"/>
  <c r="P32" i="5" s="1"/>
  <c r="J32" i="5" s="1"/>
  <c r="N32" i="5"/>
  <c r="B33" i="5"/>
  <c r="C33" i="5"/>
  <c r="D33" i="5"/>
  <c r="E33" i="5"/>
  <c r="F33" i="5"/>
  <c r="G33" i="5"/>
  <c r="H33" i="5"/>
  <c r="I33" i="5"/>
  <c r="O33" i="5" s="1"/>
  <c r="B34" i="5"/>
  <c r="C34" i="5"/>
  <c r="D34" i="5"/>
  <c r="E34" i="5"/>
  <c r="F34" i="5"/>
  <c r="G34" i="5"/>
  <c r="H34" i="5"/>
  <c r="I34" i="5"/>
  <c r="O34" i="5"/>
  <c r="B35" i="5"/>
  <c r="C35" i="5"/>
  <c r="D35" i="5"/>
  <c r="E35" i="5"/>
  <c r="F35" i="5"/>
  <c r="G35" i="5"/>
  <c r="H35" i="5"/>
  <c r="I35" i="5"/>
  <c r="L35" i="5"/>
  <c r="M35" i="5"/>
  <c r="O35" i="5"/>
  <c r="P35" i="5"/>
  <c r="B36" i="5"/>
  <c r="C36" i="5"/>
  <c r="D36" i="5"/>
  <c r="E36" i="5"/>
  <c r="F36" i="5"/>
  <c r="G36" i="5"/>
  <c r="H36" i="5"/>
  <c r="I36" i="5"/>
  <c r="P36" i="5" s="1"/>
  <c r="K36" i="5" s="1"/>
  <c r="J36" i="5"/>
  <c r="J65" i="5" s="1"/>
  <c r="O36" i="5"/>
  <c r="B37" i="5"/>
  <c r="C37" i="5"/>
  <c r="D37" i="5"/>
  <c r="E37" i="5"/>
  <c r="F37" i="5"/>
  <c r="G37" i="5"/>
  <c r="H37" i="5"/>
  <c r="I37" i="5"/>
  <c r="B39" i="5"/>
  <c r="O39" i="5" s="1"/>
  <c r="C39" i="5"/>
  <c r="D39" i="5"/>
  <c r="E39" i="5"/>
  <c r="F39" i="5"/>
  <c r="G39" i="5"/>
  <c r="H39" i="5"/>
  <c r="I39" i="5"/>
  <c r="P39" i="5"/>
  <c r="B40" i="5"/>
  <c r="O40" i="5" s="1"/>
  <c r="C40" i="5"/>
  <c r="D40" i="5"/>
  <c r="E40" i="5"/>
  <c r="F40" i="5"/>
  <c r="G40" i="5"/>
  <c r="H40" i="5"/>
  <c r="I40" i="5"/>
  <c r="P40" i="5" s="1"/>
  <c r="L40" i="5" s="1"/>
  <c r="J40" i="5"/>
  <c r="B41" i="5"/>
  <c r="O41" i="5" s="1"/>
  <c r="C41" i="5"/>
  <c r="D41" i="5"/>
  <c r="E41" i="5"/>
  <c r="F41" i="5"/>
  <c r="G41" i="5"/>
  <c r="H41" i="5"/>
  <c r="I41" i="5"/>
  <c r="J41" i="5"/>
  <c r="P41" i="5"/>
  <c r="B42" i="5"/>
  <c r="C42" i="5"/>
  <c r="D42" i="5"/>
  <c r="E42" i="5"/>
  <c r="F42" i="5"/>
  <c r="G42" i="5"/>
  <c r="H42" i="5"/>
  <c r="H77" i="5" s="1"/>
  <c r="I42" i="5"/>
  <c r="O42" i="5"/>
  <c r="B43" i="5"/>
  <c r="O43" i="5" s="1"/>
  <c r="C43" i="5"/>
  <c r="D43" i="5"/>
  <c r="E43" i="5"/>
  <c r="F43" i="5"/>
  <c r="G43" i="5"/>
  <c r="H43" i="5"/>
  <c r="I43" i="5"/>
  <c r="P43" i="5" s="1"/>
  <c r="B44" i="5"/>
  <c r="C44" i="5"/>
  <c r="D44" i="5"/>
  <c r="E44" i="5"/>
  <c r="F44" i="5"/>
  <c r="G44" i="5"/>
  <c r="H44" i="5"/>
  <c r="I44" i="5"/>
  <c r="P44" i="5" s="1"/>
  <c r="L44" i="5" s="1"/>
  <c r="J44" i="5"/>
  <c r="M44" i="5"/>
  <c r="B45" i="5"/>
  <c r="O45" i="5" s="1"/>
  <c r="C45" i="5"/>
  <c r="D45" i="5"/>
  <c r="E45" i="5"/>
  <c r="F45" i="5"/>
  <c r="G45" i="5"/>
  <c r="H45" i="5"/>
  <c r="I45" i="5"/>
  <c r="B47" i="5"/>
  <c r="C47" i="5"/>
  <c r="D47" i="5"/>
  <c r="E47" i="5"/>
  <c r="F47" i="5"/>
  <c r="G47" i="5"/>
  <c r="H47" i="5"/>
  <c r="I47" i="5"/>
  <c r="L47" i="5"/>
  <c r="O47" i="5"/>
  <c r="P47" i="5"/>
  <c r="J47" i="5" s="1"/>
  <c r="B48" i="5"/>
  <c r="C48" i="5"/>
  <c r="D48" i="5"/>
  <c r="E48" i="5"/>
  <c r="F48" i="5"/>
  <c r="H48" i="5"/>
  <c r="I48" i="5"/>
  <c r="O48" i="5"/>
  <c r="B49" i="5"/>
  <c r="C49" i="5"/>
  <c r="D49" i="5"/>
  <c r="E49" i="5"/>
  <c r="F49" i="5"/>
  <c r="G49" i="5"/>
  <c r="H49" i="5"/>
  <c r="I49" i="5"/>
  <c r="O49" i="5"/>
  <c r="B50" i="5"/>
  <c r="C50" i="5"/>
  <c r="D50" i="5"/>
  <c r="E50" i="5"/>
  <c r="F50" i="5"/>
  <c r="G50" i="5"/>
  <c r="H50" i="5"/>
  <c r="I50" i="5"/>
  <c r="J50" i="5"/>
  <c r="O50" i="5"/>
  <c r="P50" i="5"/>
  <c r="K50" i="5" s="1"/>
  <c r="B51" i="5"/>
  <c r="B52" i="5" s="1"/>
  <c r="C51" i="5"/>
  <c r="D51" i="5"/>
  <c r="D52" i="5" s="1"/>
  <c r="E51" i="5"/>
  <c r="F51" i="5"/>
  <c r="F52" i="5" s="1"/>
  <c r="G51" i="5"/>
  <c r="H51" i="5"/>
  <c r="I51" i="5"/>
  <c r="P51" i="5" s="1"/>
  <c r="C52" i="5"/>
  <c r="E52" i="5"/>
  <c r="B54" i="5"/>
  <c r="C54" i="5"/>
  <c r="D54" i="5"/>
  <c r="E54" i="5"/>
  <c r="F54" i="5"/>
  <c r="G54" i="5"/>
  <c r="G57" i="5" s="1"/>
  <c r="H54" i="5"/>
  <c r="I54" i="5"/>
  <c r="O54" i="5" s="1"/>
  <c r="B55" i="5"/>
  <c r="C55" i="5"/>
  <c r="D55" i="5"/>
  <c r="E55" i="5"/>
  <c r="F55" i="5"/>
  <c r="G55" i="5"/>
  <c r="H55" i="5"/>
  <c r="I55" i="5"/>
  <c r="O55" i="5" s="1"/>
  <c r="B56" i="5"/>
  <c r="C56" i="5"/>
  <c r="D56" i="5"/>
  <c r="E56" i="5"/>
  <c r="F56" i="5"/>
  <c r="G56" i="5"/>
  <c r="H56" i="5"/>
  <c r="I56" i="5"/>
  <c r="O56" i="5"/>
  <c r="C57" i="5"/>
  <c r="H57" i="5"/>
  <c r="B58" i="5"/>
  <c r="C58" i="5"/>
  <c r="D58" i="5"/>
  <c r="E58" i="5"/>
  <c r="F58" i="5"/>
  <c r="G58" i="5"/>
  <c r="H58" i="5"/>
  <c r="I58" i="5"/>
  <c r="J58" i="5"/>
  <c r="O58" i="5"/>
  <c r="P58" i="5"/>
  <c r="N58" i="5" s="1"/>
  <c r="D59" i="5"/>
  <c r="I59" i="5"/>
  <c r="O59" i="5" s="1"/>
  <c r="B60" i="5"/>
  <c r="O60" i="5" s="1"/>
  <c r="C60" i="5"/>
  <c r="D60" i="5"/>
  <c r="E60" i="5"/>
  <c r="F60" i="5"/>
  <c r="G60" i="5"/>
  <c r="H60" i="5"/>
  <c r="I60" i="5"/>
  <c r="B63" i="5"/>
  <c r="C63" i="5"/>
  <c r="D63" i="5"/>
  <c r="E63" i="5"/>
  <c r="F63" i="5"/>
  <c r="G63" i="5"/>
  <c r="H63" i="5"/>
  <c r="I63" i="5"/>
  <c r="B64" i="5"/>
  <c r="C64" i="5"/>
  <c r="D64" i="5"/>
  <c r="E64" i="5"/>
  <c r="F64" i="5"/>
  <c r="G64" i="5"/>
  <c r="H64" i="5"/>
  <c r="I64" i="5"/>
  <c r="O64" i="5"/>
  <c r="B65" i="5"/>
  <c r="C65" i="5"/>
  <c r="D65" i="5"/>
  <c r="E65" i="5"/>
  <c r="F65" i="5"/>
  <c r="G65" i="5"/>
  <c r="H65" i="5"/>
  <c r="I65" i="5"/>
  <c r="O65" i="5"/>
  <c r="P65" i="5"/>
  <c r="B66" i="5"/>
  <c r="C66" i="5"/>
  <c r="D66" i="5"/>
  <c r="E66" i="5"/>
  <c r="F66" i="5"/>
  <c r="G66" i="5"/>
  <c r="H66" i="5"/>
  <c r="I66" i="5"/>
  <c r="B67" i="5"/>
  <c r="B68" i="5" s="1"/>
  <c r="C67" i="5"/>
  <c r="D67" i="5"/>
  <c r="E67" i="5"/>
  <c r="E68" i="5" s="1"/>
  <c r="F67" i="5"/>
  <c r="G67" i="5"/>
  <c r="G68" i="5" s="1"/>
  <c r="H67" i="5"/>
  <c r="I67" i="5"/>
  <c r="I68" i="5" s="1"/>
  <c r="D68" i="5"/>
  <c r="F68" i="5"/>
  <c r="K68" i="5"/>
  <c r="L68" i="5"/>
  <c r="M68" i="5"/>
  <c r="N68" i="5"/>
  <c r="B69" i="5"/>
  <c r="C69" i="5"/>
  <c r="D69" i="5"/>
  <c r="E69" i="5"/>
  <c r="F69" i="5"/>
  <c r="G69" i="5"/>
  <c r="H69" i="5"/>
  <c r="I69" i="5"/>
  <c r="O69" i="5"/>
  <c r="P69" i="5"/>
  <c r="B70" i="5"/>
  <c r="C70" i="5"/>
  <c r="D70" i="5"/>
  <c r="E70" i="5"/>
  <c r="F70" i="5"/>
  <c r="G70" i="5"/>
  <c r="H70" i="5"/>
  <c r="I70" i="5"/>
  <c r="J70" i="5"/>
  <c r="B71" i="5"/>
  <c r="C71" i="5"/>
  <c r="D71" i="5"/>
  <c r="E71" i="5"/>
  <c r="F71" i="5"/>
  <c r="G71" i="5"/>
  <c r="H71" i="5"/>
  <c r="I71" i="5"/>
  <c r="K71" i="5"/>
  <c r="O71" i="5"/>
  <c r="P71" i="5"/>
  <c r="J71" i="5" s="1"/>
  <c r="B72" i="5"/>
  <c r="C72" i="5"/>
  <c r="D72" i="5"/>
  <c r="E72" i="5"/>
  <c r="F72" i="5"/>
  <c r="G72" i="5"/>
  <c r="H72" i="5"/>
  <c r="I72" i="5"/>
  <c r="P72" i="5" s="1"/>
  <c r="O72" i="5"/>
  <c r="B73" i="5"/>
  <c r="C73" i="5"/>
  <c r="D73" i="5"/>
  <c r="E73" i="5"/>
  <c r="F73" i="5"/>
  <c r="G73" i="5"/>
  <c r="H73" i="5"/>
  <c r="I73" i="5"/>
  <c r="O73" i="5" s="1"/>
  <c r="B74" i="5"/>
  <c r="C74" i="5"/>
  <c r="D74" i="5"/>
  <c r="E74" i="5"/>
  <c r="F74" i="5"/>
  <c r="G74" i="5"/>
  <c r="H74" i="5"/>
  <c r="I74" i="5"/>
  <c r="B75" i="5"/>
  <c r="C75" i="5"/>
  <c r="C76" i="5" s="1"/>
  <c r="D75" i="5"/>
  <c r="D76" i="5" s="1"/>
  <c r="E75" i="5"/>
  <c r="F75" i="5"/>
  <c r="F76" i="5" s="1"/>
  <c r="G75" i="5"/>
  <c r="H75" i="5"/>
  <c r="H76" i="5" s="1"/>
  <c r="I75" i="5"/>
  <c r="O75" i="5"/>
  <c r="P75" i="5"/>
  <c r="B76" i="5"/>
  <c r="E76" i="5"/>
  <c r="G76" i="5"/>
  <c r="I76" i="5"/>
  <c r="J75" i="5" s="1"/>
  <c r="D77" i="5"/>
  <c r="E77" i="5"/>
  <c r="G77" i="5"/>
  <c r="J79" i="5"/>
  <c r="J17" i="5" s="1"/>
  <c r="K17" i="5" s="1"/>
  <c r="K79" i="5"/>
  <c r="L79" i="5" s="1"/>
  <c r="M79" i="5" s="1"/>
  <c r="N79" i="5" s="1"/>
  <c r="O79" i="5"/>
  <c r="C1" i="3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B3" i="3"/>
  <c r="B7" i="3" s="1"/>
  <c r="U7" i="3" s="1"/>
  <c r="C3" i="3"/>
  <c r="C7" i="3" s="1"/>
  <c r="D3" i="3"/>
  <c r="D7" i="3" s="1"/>
  <c r="E3" i="3"/>
  <c r="E7" i="3" s="1"/>
  <c r="F3" i="3"/>
  <c r="F7" i="3" s="1"/>
  <c r="G3" i="3"/>
  <c r="G7" i="3" s="1"/>
  <c r="H3" i="3"/>
  <c r="H4" i="3" s="1"/>
  <c r="I3" i="3"/>
  <c r="J3" i="3"/>
  <c r="K3" i="3"/>
  <c r="L3" i="3"/>
  <c r="M3" i="3"/>
  <c r="M4" i="3" s="1"/>
  <c r="N3" i="3"/>
  <c r="N7" i="3" s="1"/>
  <c r="O7" i="3" s="1"/>
  <c r="P7" i="3" s="1"/>
  <c r="Q7" i="3" s="1"/>
  <c r="R7" i="3" s="1"/>
  <c r="S7" i="3" s="1"/>
  <c r="T7" i="3" s="1"/>
  <c r="U3" i="3"/>
  <c r="I4" i="3"/>
  <c r="I8" i="3" s="1"/>
  <c r="J4" i="3"/>
  <c r="J9" i="3" s="1"/>
  <c r="K4" i="3"/>
  <c r="K9" i="3" s="1"/>
  <c r="L4" i="3"/>
  <c r="L9" i="3" s="1"/>
  <c r="U4" i="3"/>
  <c r="B5" i="3"/>
  <c r="U5" i="3" s="1"/>
  <c r="O5" i="3" s="1"/>
  <c r="P5" i="3" s="1"/>
  <c r="Q5" i="3" s="1"/>
  <c r="R5" i="3" s="1"/>
  <c r="S5" i="3" s="1"/>
  <c r="T5" i="3" s="1"/>
  <c r="C5" i="3"/>
  <c r="C6" i="3" s="1"/>
  <c r="D5" i="3"/>
  <c r="D6" i="3" s="1"/>
  <c r="E5" i="3"/>
  <c r="F5" i="3"/>
  <c r="G5" i="3"/>
  <c r="H5" i="3"/>
  <c r="I5" i="3"/>
  <c r="I6" i="3" s="1"/>
  <c r="J5" i="3"/>
  <c r="J6" i="3" s="1"/>
  <c r="K5" i="3"/>
  <c r="K6" i="3" s="1"/>
  <c r="L5" i="3"/>
  <c r="L6" i="3" s="1"/>
  <c r="M5" i="3"/>
  <c r="M6" i="3" s="1"/>
  <c r="N5" i="3"/>
  <c r="N6" i="3" s="1"/>
  <c r="E6" i="3"/>
  <c r="F6" i="3"/>
  <c r="G6" i="3"/>
  <c r="H6" i="3"/>
  <c r="I7" i="3"/>
  <c r="J7" i="3"/>
  <c r="K7" i="3"/>
  <c r="L7" i="3"/>
  <c r="M7" i="3"/>
  <c r="I9" i="3"/>
  <c r="B10" i="3"/>
  <c r="C10" i="3"/>
  <c r="D10" i="3"/>
  <c r="E10" i="3"/>
  <c r="F10" i="3"/>
  <c r="G10" i="3"/>
  <c r="H10" i="3"/>
  <c r="I10" i="3"/>
  <c r="U10" i="3" s="1"/>
  <c r="J10" i="3"/>
  <c r="K10" i="3"/>
  <c r="L10" i="3"/>
  <c r="M10" i="3"/>
  <c r="N10" i="3"/>
  <c r="O10" i="3" s="1"/>
  <c r="P10" i="3" s="1"/>
  <c r="Q10" i="3" s="1"/>
  <c r="R10" i="3" s="1"/>
  <c r="S10" i="3" s="1"/>
  <c r="T10" i="3" s="1"/>
  <c r="B11" i="3"/>
  <c r="U11" i="3" s="1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U12" i="3"/>
  <c r="B15" i="3"/>
  <c r="C15" i="3"/>
  <c r="D15" i="3"/>
  <c r="E15" i="3"/>
  <c r="F15" i="3"/>
  <c r="F16" i="3" s="1"/>
  <c r="G15" i="3"/>
  <c r="G16" i="3" s="1"/>
  <c r="H15" i="3"/>
  <c r="H16" i="3" s="1"/>
  <c r="I15" i="3"/>
  <c r="I16" i="3" s="1"/>
  <c r="J15" i="3"/>
  <c r="J25" i="3" s="1"/>
  <c r="J27" i="3" s="1"/>
  <c r="K15" i="3"/>
  <c r="K16" i="3" s="1"/>
  <c r="L15" i="3"/>
  <c r="L16" i="3" s="1"/>
  <c r="M15" i="3"/>
  <c r="M25" i="3" s="1"/>
  <c r="M27" i="3" s="1"/>
  <c r="N15" i="3"/>
  <c r="O15" i="3" s="1"/>
  <c r="U15" i="3"/>
  <c r="B16" i="3"/>
  <c r="C16" i="3"/>
  <c r="D16" i="3"/>
  <c r="E16" i="3"/>
  <c r="I17" i="3"/>
  <c r="J17" i="3"/>
  <c r="B18" i="3"/>
  <c r="B17" i="3" s="1"/>
  <c r="C18" i="3"/>
  <c r="C17" i="3" s="1"/>
  <c r="I18" i="3"/>
  <c r="J18" i="3"/>
  <c r="K18" i="3"/>
  <c r="K17" i="3" s="1"/>
  <c r="L18" i="3"/>
  <c r="M18" i="3"/>
  <c r="N18" i="3"/>
  <c r="O18" i="3"/>
  <c r="B19" i="3"/>
  <c r="U19" i="3" s="1"/>
  <c r="C19" i="3"/>
  <c r="D19" i="3"/>
  <c r="D18" i="3" s="1"/>
  <c r="D17" i="3" s="1"/>
  <c r="E19" i="3"/>
  <c r="E18" i="3" s="1"/>
  <c r="E17" i="3" s="1"/>
  <c r="F19" i="3"/>
  <c r="F18" i="3" s="1"/>
  <c r="F17" i="3" s="1"/>
  <c r="G19" i="3"/>
  <c r="G18" i="3" s="1"/>
  <c r="G17" i="3" s="1"/>
  <c r="H19" i="3"/>
  <c r="H18" i="3" s="1"/>
  <c r="H17" i="3" s="1"/>
  <c r="I19" i="3"/>
  <c r="J19" i="3"/>
  <c r="K19" i="3"/>
  <c r="L19" i="3"/>
  <c r="M19" i="3"/>
  <c r="N19" i="3"/>
  <c r="O19" i="3"/>
  <c r="P19" i="3"/>
  <c r="P18" i="3" s="1"/>
  <c r="Q19" i="3"/>
  <c r="Q18" i="3" s="1"/>
  <c r="R19" i="3"/>
  <c r="R18" i="3" s="1"/>
  <c r="S19" i="3"/>
  <c r="T19" i="3" s="1"/>
  <c r="T18" i="3" s="1"/>
  <c r="B21" i="3"/>
  <c r="C21" i="3"/>
  <c r="D21" i="3"/>
  <c r="E21" i="3"/>
  <c r="F21" i="3"/>
  <c r="G21" i="3"/>
  <c r="H21" i="3"/>
  <c r="I21" i="3"/>
  <c r="J21" i="3"/>
  <c r="K21" i="3"/>
  <c r="J22" i="3"/>
  <c r="K22" i="3"/>
  <c r="L22" i="3"/>
  <c r="L21" i="3" s="1"/>
  <c r="B24" i="3"/>
  <c r="U24" i="3" s="1"/>
  <c r="O24" i="3" s="1"/>
  <c r="P24" i="3" s="1"/>
  <c r="Q24" i="3" s="1"/>
  <c r="R24" i="3" s="1"/>
  <c r="S24" i="3" s="1"/>
  <c r="T24" i="3" s="1"/>
  <c r="C24" i="3"/>
  <c r="D24" i="3"/>
  <c r="E24" i="3"/>
  <c r="F24" i="3"/>
  <c r="G24" i="3"/>
  <c r="H24" i="3"/>
  <c r="I24" i="3"/>
  <c r="J24" i="3"/>
  <c r="K24" i="3"/>
  <c r="L24" i="3"/>
  <c r="M24" i="3"/>
  <c r="N24" i="3"/>
  <c r="N25" i="3"/>
  <c r="N27" i="3"/>
  <c r="B31" i="3"/>
  <c r="H61" i="5" l="1"/>
  <c r="J42" i="5"/>
  <c r="K42" i="5"/>
  <c r="L42" i="5"/>
  <c r="M42" i="5"/>
  <c r="N42" i="5"/>
  <c r="L17" i="5"/>
  <c r="M17" i="5" s="1"/>
  <c r="N17" i="5" s="1"/>
  <c r="K65" i="5"/>
  <c r="H62" i="5"/>
  <c r="L43" i="5"/>
  <c r="M43" i="5"/>
  <c r="N43" i="5"/>
  <c r="J43" i="5"/>
  <c r="K43" i="5"/>
  <c r="O51" i="5"/>
  <c r="N36" i="5"/>
  <c r="M26" i="5"/>
  <c r="M27" i="5" s="1"/>
  <c r="H21" i="5"/>
  <c r="F15" i="5"/>
  <c r="F57" i="5" s="1"/>
  <c r="F61" i="5" s="1"/>
  <c r="F62" i="5" s="1"/>
  <c r="M9" i="5"/>
  <c r="P6" i="5"/>
  <c r="M58" i="5"/>
  <c r="N40" i="5"/>
  <c r="M36" i="5"/>
  <c r="J35" i="5"/>
  <c r="K35" i="5"/>
  <c r="G22" i="5"/>
  <c r="E15" i="5"/>
  <c r="E57" i="5" s="1"/>
  <c r="E61" i="5" s="1"/>
  <c r="E62" i="5" s="1"/>
  <c r="B77" i="5"/>
  <c r="P76" i="5"/>
  <c r="M71" i="5"/>
  <c r="P64" i="5"/>
  <c r="L58" i="5"/>
  <c r="L50" i="5"/>
  <c r="O44" i="5"/>
  <c r="M40" i="5"/>
  <c r="L36" i="5"/>
  <c r="M65" i="5" s="1"/>
  <c r="P34" i="5"/>
  <c r="I27" i="5"/>
  <c r="D21" i="5"/>
  <c r="O21" i="5" s="1"/>
  <c r="E21" i="5"/>
  <c r="E19" i="5"/>
  <c r="B15" i="5"/>
  <c r="B57" i="5" s="1"/>
  <c r="D15" i="5"/>
  <c r="D57" i="5" s="1"/>
  <c r="D61" i="5" s="1"/>
  <c r="D62" i="5" s="1"/>
  <c r="N9" i="5"/>
  <c r="B4" i="5"/>
  <c r="C68" i="5"/>
  <c r="N71" i="5"/>
  <c r="O76" i="5"/>
  <c r="L71" i="5"/>
  <c r="H68" i="5"/>
  <c r="K58" i="5"/>
  <c r="P56" i="5"/>
  <c r="P48" i="5"/>
  <c r="K40" i="5"/>
  <c r="P37" i="5"/>
  <c r="N35" i="5"/>
  <c r="P28" i="5"/>
  <c r="P21" i="5"/>
  <c r="J20" i="5" s="1"/>
  <c r="C19" i="5"/>
  <c r="P12" i="5"/>
  <c r="P5" i="5"/>
  <c r="C4" i="5"/>
  <c r="I52" i="5"/>
  <c r="M32" i="5"/>
  <c r="M14" i="5"/>
  <c r="N4" i="5"/>
  <c r="P79" i="5"/>
  <c r="J68" i="5"/>
  <c r="G59" i="5"/>
  <c r="G61" i="5" s="1"/>
  <c r="G62" i="5" s="1"/>
  <c r="P55" i="5"/>
  <c r="G52" i="5"/>
  <c r="L32" i="5"/>
  <c r="P30" i="5"/>
  <c r="D27" i="5"/>
  <c r="L14" i="5"/>
  <c r="I11" i="5"/>
  <c r="P10" i="5"/>
  <c r="I9" i="5"/>
  <c r="G8" i="5"/>
  <c r="L4" i="5"/>
  <c r="H52" i="5"/>
  <c r="P73" i="5"/>
  <c r="P60" i="5"/>
  <c r="P54" i="5"/>
  <c r="P49" i="5"/>
  <c r="N47" i="5"/>
  <c r="P45" i="5"/>
  <c r="P33" i="5"/>
  <c r="K32" i="5"/>
  <c r="S29" i="5"/>
  <c r="O29" i="5"/>
  <c r="C77" i="5"/>
  <c r="K14" i="5"/>
  <c r="D8" i="5"/>
  <c r="L41" i="5"/>
  <c r="M41" i="5" s="1"/>
  <c r="N41" i="5" s="1"/>
  <c r="M50" i="5"/>
  <c r="I77" i="5"/>
  <c r="P77" i="5" s="1"/>
  <c r="I57" i="5"/>
  <c r="M47" i="5"/>
  <c r="N44" i="5"/>
  <c r="S28" i="5"/>
  <c r="B27" i="5"/>
  <c r="C8" i="5"/>
  <c r="E8" i="5"/>
  <c r="J4" i="5"/>
  <c r="K26" i="5"/>
  <c r="K27" i="5" s="1"/>
  <c r="L26" i="5"/>
  <c r="L27" i="5" s="1"/>
  <c r="P59" i="5"/>
  <c r="C59" i="5"/>
  <c r="C61" i="5" s="1"/>
  <c r="C62" i="5" s="1"/>
  <c r="K47" i="5"/>
  <c r="K44" i="5"/>
  <c r="O37" i="5"/>
  <c r="O7" i="5"/>
  <c r="N26" i="5"/>
  <c r="N27" i="5" s="1"/>
  <c r="I22" i="5"/>
  <c r="O25" i="3"/>
  <c r="O27" i="3" s="1"/>
  <c r="P15" i="3"/>
  <c r="O16" i="3"/>
  <c r="H8" i="3"/>
  <c r="H9" i="3"/>
  <c r="J28" i="3"/>
  <c r="I28" i="3"/>
  <c r="O12" i="3"/>
  <c r="P12" i="3" s="1"/>
  <c r="Q12" i="3" s="1"/>
  <c r="R12" i="3" s="1"/>
  <c r="S12" i="3" s="1"/>
  <c r="T12" i="3" s="1"/>
  <c r="O11" i="3"/>
  <c r="P11" i="3" s="1"/>
  <c r="Q11" i="3" s="1"/>
  <c r="R11" i="3" s="1"/>
  <c r="S11" i="3" s="1"/>
  <c r="T11" i="3" s="1"/>
  <c r="L17" i="3"/>
  <c r="M8" i="3"/>
  <c r="M9" i="3"/>
  <c r="N16" i="3"/>
  <c r="M16" i="3"/>
  <c r="K25" i="3"/>
  <c r="K27" i="3" s="1"/>
  <c r="K28" i="3" s="1"/>
  <c r="L8" i="3"/>
  <c r="H7" i="3"/>
  <c r="G4" i="3"/>
  <c r="O3" i="3"/>
  <c r="L25" i="3"/>
  <c r="L27" i="3" s="1"/>
  <c r="F4" i="3"/>
  <c r="J8" i="3"/>
  <c r="E4" i="3"/>
  <c r="D4" i="3"/>
  <c r="C4" i="3"/>
  <c r="U18" i="3"/>
  <c r="K8" i="3"/>
  <c r="B6" i="3"/>
  <c r="I25" i="3"/>
  <c r="I27" i="3" s="1"/>
  <c r="J16" i="3"/>
  <c r="S18" i="3"/>
  <c r="N4" i="3"/>
  <c r="B4" i="3"/>
  <c r="M22" i="3"/>
  <c r="J21" i="5" l="1"/>
  <c r="K20" i="5"/>
  <c r="J69" i="5"/>
  <c r="J72" i="5" s="1"/>
  <c r="M73" i="5"/>
  <c r="K73" i="5"/>
  <c r="L73" i="5"/>
  <c r="J73" i="5"/>
  <c r="N73" i="5"/>
  <c r="J56" i="5"/>
  <c r="K56" i="5"/>
  <c r="N56" i="5"/>
  <c r="L56" i="5"/>
  <c r="M56" i="5"/>
  <c r="O3" i="5"/>
  <c r="P3" i="5"/>
  <c r="K64" i="5"/>
  <c r="K66" i="5" s="1"/>
  <c r="J64" i="5"/>
  <c r="J66" i="5" s="1"/>
  <c r="M64" i="5"/>
  <c r="M66" i="5" s="1"/>
  <c r="L64" i="5"/>
  <c r="N64" i="5"/>
  <c r="K10" i="5"/>
  <c r="J10" i="5"/>
  <c r="L60" i="5"/>
  <c r="M60" i="5"/>
  <c r="N60" i="5"/>
  <c r="J60" i="5"/>
  <c r="K60" i="5"/>
  <c r="K30" i="5"/>
  <c r="L30" i="5"/>
  <c r="J30" i="5"/>
  <c r="M30" i="5"/>
  <c r="N30" i="5"/>
  <c r="B61" i="5"/>
  <c r="O57" i="5"/>
  <c r="L10" i="5"/>
  <c r="M33" i="5"/>
  <c r="K33" i="5"/>
  <c r="J33" i="5"/>
  <c r="L33" i="5"/>
  <c r="N33" i="5"/>
  <c r="K55" i="5"/>
  <c r="L55" i="5"/>
  <c r="J55" i="5"/>
  <c r="M55" i="5"/>
  <c r="N55" i="5"/>
  <c r="M10" i="5"/>
  <c r="J28" i="5"/>
  <c r="K28" i="5"/>
  <c r="L28" i="5"/>
  <c r="M28" i="5" s="1"/>
  <c r="N28" i="5" s="1"/>
  <c r="L29" i="5"/>
  <c r="M29" i="5" s="1"/>
  <c r="N29" i="5" s="1"/>
  <c r="J29" i="5"/>
  <c r="K29" i="5"/>
  <c r="O77" i="5"/>
  <c r="P19" i="5"/>
  <c r="O19" i="5"/>
  <c r="J34" i="5"/>
  <c r="M34" i="5"/>
  <c r="N34" i="5"/>
  <c r="K34" i="5"/>
  <c r="L34" i="5"/>
  <c r="L65" i="5"/>
  <c r="L59" i="5"/>
  <c r="J59" i="5"/>
  <c r="K59" i="5"/>
  <c r="M59" i="5"/>
  <c r="N59" i="5"/>
  <c r="P57" i="5"/>
  <c r="I61" i="5"/>
  <c r="L45" i="5"/>
  <c r="M45" i="5"/>
  <c r="J45" i="5"/>
  <c r="K45" i="5"/>
  <c r="N45" i="5"/>
  <c r="N54" i="5"/>
  <c r="J54" i="5"/>
  <c r="K54" i="5"/>
  <c r="L54" i="5"/>
  <c r="M54" i="5"/>
  <c r="N10" i="5"/>
  <c r="N65" i="5"/>
  <c r="C9" i="3"/>
  <c r="C8" i="3"/>
  <c r="D8" i="3"/>
  <c r="D9" i="3"/>
  <c r="E8" i="3"/>
  <c r="E9" i="3"/>
  <c r="M21" i="3"/>
  <c r="M17" i="3" s="1"/>
  <c r="M28" i="3" s="1"/>
  <c r="N22" i="3"/>
  <c r="L28" i="3"/>
  <c r="B9" i="3"/>
  <c r="U9" i="3" s="1"/>
  <c r="B8" i="3"/>
  <c r="U8" i="3" s="1"/>
  <c r="F8" i="3"/>
  <c r="F9" i="3"/>
  <c r="O6" i="3"/>
  <c r="P3" i="3"/>
  <c r="N8" i="3"/>
  <c r="O8" i="3" s="1"/>
  <c r="P8" i="3" s="1"/>
  <c r="Q8" i="3" s="1"/>
  <c r="R8" i="3" s="1"/>
  <c r="S8" i="3" s="1"/>
  <c r="T8" i="3" s="1"/>
  <c r="O4" i="3"/>
  <c r="N9" i="3"/>
  <c r="G8" i="3"/>
  <c r="G9" i="3"/>
  <c r="Q15" i="3"/>
  <c r="P16" i="3"/>
  <c r="P25" i="3"/>
  <c r="P27" i="3" s="1"/>
  <c r="N66" i="5" l="1"/>
  <c r="L66" i="5"/>
  <c r="N12" i="5"/>
  <c r="N11" i="5"/>
  <c r="P61" i="5"/>
  <c r="I62" i="5"/>
  <c r="J57" i="5"/>
  <c r="K57" i="5"/>
  <c r="L57" i="5"/>
  <c r="M57" i="5"/>
  <c r="N57" i="5"/>
  <c r="L11" i="5"/>
  <c r="L12" i="5"/>
  <c r="M11" i="5"/>
  <c r="M12" i="5"/>
  <c r="K21" i="5"/>
  <c r="L20" i="5"/>
  <c r="K69" i="5"/>
  <c r="K72" i="5" s="1"/>
  <c r="O61" i="5"/>
  <c r="B62" i="5"/>
  <c r="J12" i="5"/>
  <c r="J11" i="5"/>
  <c r="K11" i="5"/>
  <c r="K12" i="5"/>
  <c r="Q25" i="3"/>
  <c r="Q27" i="3" s="1"/>
  <c r="R15" i="3"/>
  <c r="Q16" i="3"/>
  <c r="N21" i="3"/>
  <c r="N17" i="3" s="1"/>
  <c r="N28" i="3" s="1"/>
  <c r="O22" i="3"/>
  <c r="P6" i="3"/>
  <c r="Q3" i="3"/>
  <c r="P4" i="3"/>
  <c r="O9" i="3"/>
  <c r="J13" i="5" l="1"/>
  <c r="J16" i="5"/>
  <c r="J15" i="5"/>
  <c r="K13" i="5"/>
  <c r="K16" i="5"/>
  <c r="K18" i="5" s="1"/>
  <c r="K15" i="5"/>
  <c r="L21" i="5"/>
  <c r="M20" i="5"/>
  <c r="L69" i="5"/>
  <c r="L72" i="5" s="1"/>
  <c r="O62" i="5"/>
  <c r="P62" i="5"/>
  <c r="J61" i="5"/>
  <c r="K61" i="5"/>
  <c r="L61" i="5"/>
  <c r="M61" i="5"/>
  <c r="N61" i="5"/>
  <c r="M13" i="5"/>
  <c r="M16" i="5"/>
  <c r="M18" i="5" s="1"/>
  <c r="M15" i="5"/>
  <c r="N13" i="5"/>
  <c r="N16" i="5"/>
  <c r="N18" i="5" s="1"/>
  <c r="N19" i="5" s="1"/>
  <c r="N15" i="5"/>
  <c r="L16" i="5"/>
  <c r="L18" i="5" s="1"/>
  <c r="L19" i="5" s="1"/>
  <c r="L13" i="5"/>
  <c r="L15" i="5"/>
  <c r="Q4" i="3"/>
  <c r="P9" i="3"/>
  <c r="Q6" i="3"/>
  <c r="R3" i="3"/>
  <c r="O21" i="3"/>
  <c r="O17" i="3" s="1"/>
  <c r="O28" i="3" s="1"/>
  <c r="P22" i="3"/>
  <c r="R16" i="3"/>
  <c r="R25" i="3"/>
  <c r="R27" i="3" s="1"/>
  <c r="S15" i="3"/>
  <c r="M19" i="5" l="1"/>
  <c r="L22" i="5"/>
  <c r="J62" i="5"/>
  <c r="K62" i="5"/>
  <c r="L62" i="5"/>
  <c r="M62" i="5"/>
  <c r="N62" i="5"/>
  <c r="M63" i="5"/>
  <c r="M74" i="5" s="1"/>
  <c r="N63" i="5"/>
  <c r="L63" i="5"/>
  <c r="L74" i="5" s="1"/>
  <c r="K63" i="5"/>
  <c r="K74" i="5" s="1"/>
  <c r="J18" i="5"/>
  <c r="J48" i="5"/>
  <c r="N20" i="5"/>
  <c r="M21" i="5"/>
  <c r="M22" i="5"/>
  <c r="M69" i="5"/>
  <c r="M72" i="5" s="1"/>
  <c r="K22" i="5"/>
  <c r="J63" i="5"/>
  <c r="J74" i="5" s="1"/>
  <c r="J76" i="5" s="1"/>
  <c r="T15" i="3"/>
  <c r="S16" i="3"/>
  <c r="S25" i="3"/>
  <c r="S27" i="3" s="1"/>
  <c r="R6" i="3"/>
  <c r="S3" i="3"/>
  <c r="P21" i="3"/>
  <c r="P17" i="3" s="1"/>
  <c r="P28" i="3" s="1"/>
  <c r="Q22" i="3"/>
  <c r="R4" i="3"/>
  <c r="Q9" i="3"/>
  <c r="J19" i="5" l="1"/>
  <c r="J22" i="5"/>
  <c r="K75" i="5"/>
  <c r="K76" i="5" s="1"/>
  <c r="J25" i="5"/>
  <c r="K19" i="5"/>
  <c r="N22" i="5"/>
  <c r="N21" i="5"/>
  <c r="N69" i="5"/>
  <c r="N72" i="5" s="1"/>
  <c r="N74" i="5" s="1"/>
  <c r="K48" i="5"/>
  <c r="R9" i="3"/>
  <c r="S4" i="3"/>
  <c r="S6" i="3"/>
  <c r="T3" i="3"/>
  <c r="Q21" i="3"/>
  <c r="Q17" i="3" s="1"/>
  <c r="Q28" i="3" s="1"/>
  <c r="R22" i="3"/>
  <c r="T16" i="3"/>
  <c r="T25" i="3"/>
  <c r="L48" i="5" l="1"/>
  <c r="M48" i="5" s="1"/>
  <c r="J77" i="5"/>
  <c r="J37" i="5"/>
  <c r="J49" i="5" s="1"/>
  <c r="J51" i="5" s="1"/>
  <c r="J52" i="5" s="1"/>
  <c r="K25" i="5"/>
  <c r="L75" i="5"/>
  <c r="L76" i="5" s="1"/>
  <c r="S22" i="3"/>
  <c r="R21" i="3"/>
  <c r="R17" i="3" s="1"/>
  <c r="R28" i="3" s="1"/>
  <c r="T6" i="3"/>
  <c r="B37" i="3"/>
  <c r="B38" i="3"/>
  <c r="C38" i="3" s="1"/>
  <c r="S9" i="3"/>
  <c r="T4" i="3"/>
  <c r="T9" i="3" s="1"/>
  <c r="L25" i="5" l="1"/>
  <c r="M75" i="5"/>
  <c r="M76" i="5" s="1"/>
  <c r="K77" i="5"/>
  <c r="K37" i="5"/>
  <c r="K49" i="5" s="1"/>
  <c r="K51" i="5" s="1"/>
  <c r="K52" i="5" s="1"/>
  <c r="R52" i="5" s="1"/>
  <c r="N48" i="5"/>
  <c r="S21" i="3"/>
  <c r="S17" i="3" s="1"/>
  <c r="S28" i="3" s="1"/>
  <c r="T22" i="3"/>
  <c r="T21" i="3" s="1"/>
  <c r="T17" i="3" s="1"/>
  <c r="M25" i="5" l="1"/>
  <c r="N75" i="5"/>
  <c r="N76" i="5" s="1"/>
  <c r="N25" i="5" s="1"/>
  <c r="L77" i="5"/>
  <c r="L37" i="5"/>
  <c r="L49" i="5" s="1"/>
  <c r="L51" i="5" s="1"/>
  <c r="L52" i="5" s="1"/>
  <c r="S52" i="5" s="1"/>
  <c r="T28" i="3"/>
  <c r="B30" i="3" s="1"/>
  <c r="B32" i="3" s="1"/>
  <c r="B33" i="3" s="1"/>
  <c r="T26" i="3"/>
  <c r="T27" i="3" s="1"/>
  <c r="N37" i="5" l="1"/>
  <c r="N49" i="5" s="1"/>
  <c r="N51" i="5" s="1"/>
  <c r="N52" i="5" s="1"/>
  <c r="U52" i="5" s="1"/>
  <c r="N77" i="5"/>
  <c r="M37" i="5"/>
  <c r="M49" i="5" s="1"/>
  <c r="M51" i="5" s="1"/>
  <c r="M52" i="5" s="1"/>
  <c r="T52" i="5" s="1"/>
  <c r="M77" i="5"/>
</calcChain>
</file>

<file path=xl/sharedStrings.xml><?xml version="1.0" encoding="utf-8"?>
<sst xmlns="http://schemas.openxmlformats.org/spreadsheetml/2006/main" count="185" uniqueCount="165">
  <si>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</si>
  <si>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</si>
  <si>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</si>
  <si>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</si>
  <si>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</si>
  <si>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</si>
  <si>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</si>
  <si>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</si>
  <si>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</si>
  <si>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</si>
  <si>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</si>
  <si>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</si>
  <si>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</si>
  <si>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</si>
  <si>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</si>
  <si>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</si>
  <si>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</si>
  <si>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</si>
  <si>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</si>
  <si>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</si>
  <si>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</si>
  <si>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</si>
  <si>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</si>
  <si>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</si>
  <si>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</si>
  <si>
    <t>10 Year Treasury Note Yield | econforecasting.com</t>
  </si>
  <si>
    <t>Resource Center | U.S. Department of the Treasury</t>
  </si>
  <si>
    <t>S&amp;P 500 Total Returns by Year Since 1926</t>
  </si>
  <si>
    <t>Sources:</t>
  </si>
  <si>
    <t>Buy/Hold/Sell</t>
  </si>
  <si>
    <t>Upside/Downside Price</t>
  </si>
  <si>
    <t>(Based on conservative industry average)</t>
  </si>
  <si>
    <t>Terminal Growth Rate</t>
  </si>
  <si>
    <t xml:space="preserve">Value of Equity per Share </t>
  </si>
  <si>
    <t xml:space="preserve">Value of Equity </t>
  </si>
  <si>
    <t xml:space="preserve">Book Value of Debt </t>
  </si>
  <si>
    <t>Value of the firm (EV)</t>
  </si>
  <si>
    <t>Present Values</t>
  </si>
  <si>
    <t>Total Cash Flows</t>
  </si>
  <si>
    <t>Terminal Value</t>
  </si>
  <si>
    <t xml:space="preserve">FCFF </t>
  </si>
  <si>
    <t>Cost of Debt</t>
  </si>
  <si>
    <t>Rm (Average Annualized Return)</t>
  </si>
  <si>
    <t>(Market Consensus Forecast 2022-2029)</t>
  </si>
  <si>
    <t>Rf (10-year Treasury Composite Rate [Nike Standard])</t>
  </si>
  <si>
    <t>Cost of Equity</t>
  </si>
  <si>
    <t>(Peer Average Beta = 1.09)</t>
  </si>
  <si>
    <t>Beta</t>
  </si>
  <si>
    <t>D/V</t>
  </si>
  <si>
    <t>E/V</t>
  </si>
  <si>
    <t>WACC</t>
  </si>
  <si>
    <t>Growth %</t>
  </si>
  <si>
    <t xml:space="preserve">FCFF in high growth phase </t>
  </si>
  <si>
    <t>Years (Periods)</t>
  </si>
  <si>
    <t>Debt/Capital</t>
  </si>
  <si>
    <t>Debt/Equity</t>
  </si>
  <si>
    <t>EV/FCFF</t>
  </si>
  <si>
    <t>P/BV</t>
  </si>
  <si>
    <t>to 2% [terminal growth rate] starting in 2028.)</t>
  </si>
  <si>
    <t xml:space="preserve">not accurately reflect historical data and has been changed </t>
  </si>
  <si>
    <t>Diluted EPS</t>
  </si>
  <si>
    <t>This is almost double their highest peak of $170.15. This does</t>
  </si>
  <si>
    <t>EV</t>
  </si>
  <si>
    <t>(RRI was 10.83% leading to a terminal year value of $351.78</t>
  </si>
  <si>
    <t>Average Share Price</t>
  </si>
  <si>
    <t>Multiples</t>
  </si>
  <si>
    <t>Notes</t>
  </si>
  <si>
    <t>Historical Growth Rate for 2028-2032</t>
  </si>
  <si>
    <t>Terminal year</t>
  </si>
  <si>
    <t>NIKE, INC.
(Dollars and Shares in Millions Except Per Share and Dollar Amounts)</t>
  </si>
  <si>
    <t>Capital in excess of stated value</t>
  </si>
  <si>
    <t>Operating lease liabilities</t>
  </si>
  <si>
    <t>Long-term debt</t>
  </si>
  <si>
    <t>Notes payable</t>
  </si>
  <si>
    <t>Current portion of long-term debt</t>
  </si>
  <si>
    <t>Goodwill</t>
  </si>
  <si>
    <t>Operating lease right-of-use assets, net</t>
  </si>
  <si>
    <t>Inventories</t>
  </si>
  <si>
    <t>Net Working Capital</t>
  </si>
  <si>
    <t>Income tax expense</t>
  </si>
  <si>
    <t>Interest expense (income), net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</si>
  <si>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</si>
  <si>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Future values were forecasted using historical growth.)</t>
  </si>
  <si>
    <t>(Historical average stock prices were sourced from Nike historical stock prices.</t>
  </si>
  <si>
    <t>Net Debt (Cash)</t>
  </si>
  <si>
    <t>Closing Cash</t>
  </si>
  <si>
    <t>Opening Cash</t>
  </si>
  <si>
    <t>Net Change in Cash</t>
  </si>
  <si>
    <t>(Currency exchange impact was not calculated as part of this forecast only organic growth.)</t>
  </si>
  <si>
    <t>Other Adjustments</t>
  </si>
  <si>
    <t>CFF</t>
  </si>
  <si>
    <t>Other Financing Activities</t>
  </si>
  <si>
    <t>(Values are from Nike's 2022 10-K debt table and long-term borrowing schedule.)</t>
  </si>
  <si>
    <t>Borrowings</t>
  </si>
  <si>
    <t>Dividends Paid to Shareholders</t>
  </si>
  <si>
    <t>All buybacks are partially offset by projected stock issues and rounded.)</t>
  </si>
  <si>
    <t xml:space="preserve">Share Issuance/Buybacks </t>
  </si>
  <si>
    <t xml:space="preserve">(Nike authorized $18 billion dollars in share repurchase throughout 2022-2026 at management discretion. </t>
  </si>
  <si>
    <t>CFI</t>
  </si>
  <si>
    <t>Other Investing Activities</t>
  </si>
  <si>
    <t>Acquisitions/Disposals</t>
  </si>
  <si>
    <t>CFO</t>
  </si>
  <si>
    <t>Other Operating Activities</t>
  </si>
  <si>
    <t>Capex</t>
  </si>
  <si>
    <t>(Increase)/Decrease in Working Capital</t>
  </si>
  <si>
    <t>Cash Interest</t>
  </si>
  <si>
    <t>NOPAT</t>
  </si>
  <si>
    <t>Cash Tax</t>
  </si>
  <si>
    <t>D&amp;A</t>
  </si>
  <si>
    <t>EBIT</t>
  </si>
  <si>
    <t>Cashflow</t>
  </si>
  <si>
    <t>Check</t>
  </si>
  <si>
    <t>Total Liabilities and Equity</t>
  </si>
  <si>
    <t>AOCI</t>
  </si>
  <si>
    <t>The difference in assets and equity/liabilities was subtracted from Capital in Excess to balance accounts.)</t>
  </si>
  <si>
    <t>(The RE calculation was derived from Nike's Consolidated Statements of Shareholder's Equity.</t>
  </si>
  <si>
    <t>Retained Earnings</t>
  </si>
  <si>
    <t>Common stock</t>
  </si>
  <si>
    <t xml:space="preserve"> non-current liabilities as Nike restructures its supply chain. A 20% increase will be added to 2023 to reflect this potential cost based on industry average cost increases.)</t>
  </si>
  <si>
    <t>Equity</t>
  </si>
  <si>
    <t>(According to Nike's 2022 Shareholder's Meeting, concerns about Chinese slave labor producing Nike products in the Uyghur region may affect</t>
  </si>
  <si>
    <t>Other non-current Liabilities</t>
  </si>
  <si>
    <t>(CAGR starts in 2020)</t>
  </si>
  <si>
    <t>Other Current Liabilities</t>
  </si>
  <si>
    <t>Accounts Payable</t>
  </si>
  <si>
    <t>(Values are from Nike's 2022 10-K debt table)</t>
  </si>
  <si>
    <t>Current Borrowings</t>
  </si>
  <si>
    <t>Total Assets</t>
  </si>
  <si>
    <t>Other Assets</t>
  </si>
  <si>
    <t>Intangible Assets</t>
  </si>
  <si>
    <t>Property Plant and Equipment</t>
  </si>
  <si>
    <t>Long-term Assets</t>
  </si>
  <si>
    <t>Days Payable</t>
  </si>
  <si>
    <t>Other Current Assets</t>
  </si>
  <si>
    <t>Inventory Days</t>
  </si>
  <si>
    <t>to better reflect  account growth.)</t>
  </si>
  <si>
    <t>Days Receivable</t>
  </si>
  <si>
    <t>(AR, Inv, AP were all calculated using the days formula [on the right]</t>
  </si>
  <si>
    <t>Accounts Receivable</t>
  </si>
  <si>
    <t>As a % of revenue</t>
  </si>
  <si>
    <t>(Closing Cash was used for the Cash account not historical growth.)</t>
  </si>
  <si>
    <t>Cash and Cash Equivalents</t>
  </si>
  <si>
    <t>Current Assets</t>
  </si>
  <si>
    <t>Balance Sheet</t>
  </si>
  <si>
    <t>Payout ratio%</t>
  </si>
  <si>
    <t>DPS</t>
  </si>
  <si>
    <t>Diluted number of shares</t>
  </si>
  <si>
    <t>Net Income</t>
  </si>
  <si>
    <t>Tax rate %</t>
  </si>
  <si>
    <t>EBT</t>
  </si>
  <si>
    <t>Margin %</t>
  </si>
  <si>
    <t>error values have been modified to accurately reflect growth.)</t>
  </si>
  <si>
    <t xml:space="preserve">calculations below under green unless otherwise stated. CAGR with </t>
  </si>
  <si>
    <t xml:space="preserve">(% of Revenue [margin of revenue] was used for the following </t>
  </si>
  <si>
    <t>% of Revenue</t>
  </si>
  <si>
    <t>CAGR</t>
  </si>
  <si>
    <t>(Historical Average was used for any calculations below under orange unless otherwise stated.)</t>
  </si>
  <si>
    <t>Historical Average</t>
  </si>
  <si>
    <t>Income Statement</t>
  </si>
  <si>
    <t>Additional Notes</t>
  </si>
  <si>
    <t>Conservative Average Growth (Excluding 2020-2021)</t>
  </si>
  <si>
    <t>Average Growth (2016-2022)</t>
  </si>
  <si>
    <t>Current Share Price (12/10/22)</t>
  </si>
  <si>
    <t>Forward P/E</t>
  </si>
  <si>
    <t>Investment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</si>
</sst>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70" formatCode="m/d;@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66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0" fontId="7" fillId="0" borderId="0" xfId="5"/>
    <xf numFmtId="0" fontId="8" fillId="0" borderId="0" xfId="0" applyFont="1"/>
    <xf numFmtId="0" fontId="9" fillId="0" borderId="0" xfId="0" applyFont="1"/>
    <xf numFmtId="44" fontId="0" fillId="0" borderId="0" xfId="3" applyNumberFormat="1" applyFont="1"/>
    <xf numFmtId="10" fontId="0" fillId="0" borderId="0" xfId="3" applyNumberFormat="1" applyFont="1"/>
    <xf numFmtId="44" fontId="0" fillId="0" borderId="0" xfId="2" applyFont="1"/>
    <xf numFmtId="10" fontId="0" fillId="0" borderId="0" xfId="0" applyNumberFormat="1"/>
    <xf numFmtId="44" fontId="0" fillId="0" borderId="7" xfId="2" applyFon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164" fontId="0" fillId="0" borderId="9" xfId="1" applyNumberFormat="1" applyFont="1" applyBorder="1"/>
    <xf numFmtId="164" fontId="0" fillId="0" borderId="0" xfId="1" applyNumberFormat="1" applyFont="1"/>
    <xf numFmtId="164" fontId="0" fillId="0" borderId="11" xfId="0" applyNumberFormat="1" applyBorder="1"/>
    <xf numFmtId="0" fontId="0" fillId="0" borderId="12" xfId="0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Border="1"/>
    <xf numFmtId="0" fontId="10" fillId="0" borderId="0" xfId="0" applyFont="1" applyAlignment="1">
      <alignment horizontal="center"/>
    </xf>
    <xf numFmtId="164" fontId="0" fillId="0" borderId="13" xfId="0" applyNumberFormat="1" applyBorder="1"/>
    <xf numFmtId="10" fontId="5" fillId="0" borderId="0" xfId="3" applyNumberFormat="1" applyFont="1" applyFill="1" applyAlignment="1">
      <alignment horizontal="center"/>
    </xf>
    <xf numFmtId="165" fontId="0" fillId="0" borderId="13" xfId="3" applyNumberFormat="1" applyFont="1" applyFill="1" applyBorder="1"/>
    <xf numFmtId="10" fontId="0" fillId="0" borderId="13" xfId="3" applyNumberFormat="1" applyFont="1" applyFill="1" applyBorder="1"/>
    <xf numFmtId="0" fontId="0" fillId="0" borderId="13" xfId="0" applyBorder="1" applyAlignment="1">
      <alignment horizontal="left" indent="1"/>
    </xf>
    <xf numFmtId="10" fontId="0" fillId="0" borderId="0" xfId="3" applyNumberFormat="1" applyFont="1" applyFill="1"/>
    <xf numFmtId="10" fontId="9" fillId="0" borderId="0" xfId="3" applyNumberFormat="1" applyFont="1" applyFill="1" applyAlignment="1">
      <alignment horizontal="center"/>
    </xf>
    <xf numFmtId="165" fontId="0" fillId="0" borderId="0" xfId="3" applyNumberFormat="1" applyFont="1" applyFill="1"/>
    <xf numFmtId="166" fontId="0" fillId="0" borderId="0" xfId="0" applyNumberFormat="1"/>
    <xf numFmtId="166" fontId="0" fillId="0" borderId="0" xfId="1" applyNumberFormat="1" applyFont="1"/>
    <xf numFmtId="165" fontId="0" fillId="0" borderId="0" xfId="3" applyNumberFormat="1" applyFo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0" fontId="11" fillId="0" borderId="0" xfId="1" applyNumberFormat="1" applyFont="1" applyBorder="1" applyAlignment="1">
      <alignment horizontal="right"/>
    </xf>
    <xf numFmtId="10" fontId="12" fillId="0" borderId="0" xfId="3" applyNumberFormat="1" applyFont="1" applyBorder="1" applyAlignment="1">
      <alignment horizontal="left"/>
    </xf>
    <xf numFmtId="10" fontId="9" fillId="0" borderId="0" xfId="3" applyNumberFormat="1" applyFont="1" applyAlignment="1">
      <alignment horizontal="center"/>
    </xf>
    <xf numFmtId="10" fontId="5" fillId="0" borderId="0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3" applyNumberFormat="1" applyFont="1" applyAlignment="1">
      <alignment horizontal="center"/>
    </xf>
    <xf numFmtId="165" fontId="0" fillId="0" borderId="0" xfId="0" applyNumberFormat="1"/>
    <xf numFmtId="43" fontId="0" fillId="0" borderId="0" xfId="1" applyFont="1"/>
    <xf numFmtId="0" fontId="10" fillId="0" borderId="0" xfId="0" applyFont="1"/>
    <xf numFmtId="0" fontId="13" fillId="0" borderId="0" xfId="0" applyFont="1" applyAlignment="1">
      <alignment horizontal="center"/>
    </xf>
    <xf numFmtId="10" fontId="13" fillId="0" borderId="0" xfId="3" applyNumberFormat="1" applyFont="1" applyAlignment="1">
      <alignment horizontal="center"/>
    </xf>
    <xf numFmtId="4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 wrapText="1"/>
    </xf>
    <xf numFmtId="165" fontId="5" fillId="0" borderId="0" xfId="0" applyNumberFormat="1" applyFont="1" applyAlignment="1">
      <alignment horizontal="center"/>
    </xf>
    <xf numFmtId="165" fontId="5" fillId="0" borderId="14" xfId="3" applyNumberFormat="1" applyFont="1" applyBorder="1" applyAlignment="1">
      <alignment horizontal="center"/>
    </xf>
    <xf numFmtId="164" fontId="5" fillId="0" borderId="15" xfId="1" applyNumberFormat="1" applyFont="1" applyBorder="1"/>
    <xf numFmtId="0" fontId="5" fillId="0" borderId="15" xfId="0" applyFont="1" applyBorder="1"/>
    <xf numFmtId="164" fontId="5" fillId="0" borderId="16" xfId="1" applyNumberFormat="1" applyFont="1" applyBorder="1"/>
    <xf numFmtId="0" fontId="5" fillId="0" borderId="16" xfId="0" applyFont="1" applyBorder="1"/>
    <xf numFmtId="0" fontId="5" fillId="0" borderId="0" xfId="0" applyFont="1"/>
    <xf numFmtId="164" fontId="5" fillId="0" borderId="0" xfId="1" applyNumberFormat="1" applyFont="1"/>
    <xf numFmtId="164" fontId="5" fillId="0" borderId="17" xfId="1" applyNumberFormat="1" applyFont="1" applyBorder="1"/>
    <xf numFmtId="0" fontId="5" fillId="0" borderId="17" xfId="0" applyFont="1" applyBorder="1"/>
    <xf numFmtId="0" fontId="16" fillId="2" borderId="0" xfId="0" applyFont="1" applyFill="1" applyAlignment="1">
      <alignment vertical="center" wrapText="1"/>
    </xf>
    <xf numFmtId="164" fontId="0" fillId="0" borderId="5" xfId="1" applyNumberFormat="1" applyFont="1" applyBorder="1"/>
    <xf numFmtId="165" fontId="5" fillId="0" borderId="0" xfId="3" applyNumberFormat="1" applyFont="1" applyAlignment="1">
      <alignment horizontal="center"/>
    </xf>
    <xf numFmtId="165" fontId="5" fillId="0" borderId="0" xfId="3" applyNumberFormat="1" applyFont="1" applyBorder="1" applyAlignment="1">
      <alignment horizontal="center"/>
    </xf>
    <xf numFmtId="44" fontId="5" fillId="0" borderId="0" xfId="2" applyFont="1" applyBorder="1"/>
    <xf numFmtId="44" fontId="5" fillId="0" borderId="0" xfId="2" applyFont="1"/>
    <xf numFmtId="164" fontId="5" fillId="0" borderId="0" xfId="0" applyNumberFormat="1" applyFont="1"/>
    <xf numFmtId="164" fontId="5" fillId="0" borderId="14" xfId="0" applyNumberFormat="1" applyFont="1" applyBorder="1"/>
    <xf numFmtId="164" fontId="5" fillId="0" borderId="18" xfId="1" applyNumberFormat="1" applyFont="1" applyBorder="1"/>
    <xf numFmtId="164" fontId="0" fillId="0" borderId="14" xfId="1" applyNumberFormat="1" applyFont="1" applyBorder="1"/>
    <xf numFmtId="164" fontId="18" fillId="0" borderId="17" xfId="1" applyNumberFormat="1" applyFont="1" applyBorder="1"/>
    <xf numFmtId="164" fontId="18" fillId="0" borderId="19" xfId="1" applyNumberFormat="1" applyFont="1" applyBorder="1"/>
    <xf numFmtId="164" fontId="3" fillId="0" borderId="0" xfId="1" applyNumberFormat="1" applyFont="1" applyBorder="1"/>
    <xf numFmtId="164" fontId="3" fillId="0" borderId="14" xfId="1" applyNumberFormat="1" applyFont="1" applyBorder="1"/>
    <xf numFmtId="164" fontId="5" fillId="0" borderId="19" xfId="1" applyNumberFormat="1" applyFont="1" applyBorder="1"/>
    <xf numFmtId="164" fontId="14" fillId="0" borderId="0" xfId="1" applyNumberFormat="1" applyFont="1" applyBorder="1"/>
    <xf numFmtId="164" fontId="14" fillId="0" borderId="14" xfId="1" applyNumberFormat="1" applyFont="1" applyBorder="1"/>
    <xf numFmtId="165" fontId="12" fillId="0" borderId="0" xfId="3" applyNumberFormat="1" applyFont="1" applyAlignment="1">
      <alignment horizontal="right"/>
    </xf>
    <xf numFmtId="165" fontId="12" fillId="0" borderId="14" xfId="3" applyNumberFormat="1" applyFont="1" applyBorder="1" applyAlignment="1">
      <alignment horizontal="right"/>
    </xf>
    <xf numFmtId="164" fontId="12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/>
    </xf>
    <xf numFmtId="164" fontId="9" fillId="0" borderId="0" xfId="0" applyNumberFormat="1" applyFont="1"/>
    <xf numFmtId="164" fontId="3" fillId="0" borderId="0" xfId="1" applyNumberFormat="1" applyFont="1"/>
    <xf numFmtId="164" fontId="5" fillId="0" borderId="14" xfId="1" applyNumberFormat="1" applyFont="1" applyBorder="1"/>
    <xf numFmtId="164" fontId="14" fillId="0" borderId="0" xfId="1" applyNumberFormat="1" applyFont="1"/>
    <xf numFmtId="0" fontId="0" fillId="11" borderId="0" xfId="0" applyFill="1"/>
    <xf numFmtId="0" fontId="5" fillId="12" borderId="0" xfId="0" applyFont="1" applyFill="1"/>
    <xf numFmtId="0" fontId="5" fillId="12" borderId="14" xfId="0" applyFont="1" applyFill="1" applyBorder="1"/>
    <xf numFmtId="164" fontId="1" fillId="3" borderId="0" xfId="4" applyNumberFormat="1" applyFont="1" applyBorder="1" applyAlignment="1">
      <alignment horizontal="left"/>
    </xf>
    <xf numFmtId="0" fontId="1" fillId="3" borderId="0" xfId="4" applyFont="1"/>
    <xf numFmtId="0" fontId="4" fillId="0" borderId="0" xfId="0" applyFont="1"/>
    <xf numFmtId="43" fontId="6" fillId="0" borderId="0" xfId="0" applyNumberFormat="1" applyFont="1"/>
    <xf numFmtId="0" fontId="0" fillId="0" borderId="14" xfId="0" applyBorder="1"/>
    <xf numFmtId="43" fontId="4" fillId="0" borderId="0" xfId="1" applyFont="1" applyBorder="1"/>
    <xf numFmtId="43" fontId="4" fillId="0" borderId="14" xfId="1" applyFont="1" applyBorder="1"/>
    <xf numFmtId="165" fontId="9" fillId="0" borderId="0" xfId="3" applyNumberFormat="1" applyFont="1"/>
    <xf numFmtId="0" fontId="0" fillId="0" borderId="0" xfId="0" applyAlignment="1">
      <alignment horizontal="left"/>
    </xf>
    <xf numFmtId="164" fontId="9" fillId="0" borderId="0" xfId="1" applyNumberFormat="1" applyFont="1"/>
    <xf numFmtId="1" fontId="5" fillId="0" borderId="3" xfId="0" applyNumberFormat="1" applyFont="1" applyBorder="1"/>
    <xf numFmtId="0" fontId="5" fillId="0" borderId="20" xfId="0" applyFont="1" applyBorder="1"/>
    <xf numFmtId="1" fontId="5" fillId="0" borderId="2" xfId="0" applyNumberFormat="1" applyFont="1" applyBorder="1"/>
    <xf numFmtId="0" fontId="5" fillId="0" borderId="14" xfId="0" applyFont="1" applyBorder="1"/>
    <xf numFmtId="164" fontId="3" fillId="0" borderId="0" xfId="1" applyNumberFormat="1" applyFont="1" applyAlignment="1">
      <alignment horizontal="right"/>
    </xf>
    <xf numFmtId="1" fontId="5" fillId="0" borderId="1" xfId="0" applyNumberFormat="1" applyFont="1" applyBorder="1"/>
    <xf numFmtId="0" fontId="5" fillId="0" borderId="21" xfId="0" applyFont="1" applyBorder="1"/>
    <xf numFmtId="1" fontId="0" fillId="0" borderId="0" xfId="0" applyNumberFormat="1"/>
    <xf numFmtId="0" fontId="18" fillId="0" borderId="0" xfId="0" applyFont="1"/>
    <xf numFmtId="164" fontId="0" fillId="0" borderId="14" xfId="0" applyNumberFormat="1" applyBorder="1"/>
    <xf numFmtId="0" fontId="5" fillId="11" borderId="0" xfId="0" applyFont="1" applyFill="1" applyAlignment="1">
      <alignment horizontal="center"/>
    </xf>
    <xf numFmtId="0" fontId="5" fillId="11" borderId="14" xfId="0" applyFont="1" applyFill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44" fontId="0" fillId="0" borderId="14" xfId="2" applyFont="1" applyBorder="1"/>
    <xf numFmtId="165" fontId="5" fillId="0" borderId="0" xfId="3" applyNumberFormat="1" applyFont="1" applyAlignment="1">
      <alignment horizontal="center" vertical="center"/>
    </xf>
    <xf numFmtId="165" fontId="5" fillId="0" borderId="14" xfId="3" applyNumberFormat="1" applyFont="1" applyBorder="1" applyAlignment="1">
      <alignment horizontal="center" vertical="center"/>
    </xf>
    <xf numFmtId="44" fontId="0" fillId="0" borderId="0" xfId="2" applyFont="1" applyBorder="1"/>
    <xf numFmtId="0" fontId="1" fillId="13" borderId="0" xfId="0" applyFont="1" applyFill="1"/>
    <xf numFmtId="0" fontId="1" fillId="13" borderId="14" xfId="0" applyFont="1" applyFill="1" applyBorder="1"/>
    <xf numFmtId="164" fontId="5" fillId="0" borderId="22" xfId="1" applyNumberFormat="1" applyFont="1" applyBorder="1"/>
    <xf numFmtId="165" fontId="12" fillId="0" borderId="3" xfId="3" applyNumberFormat="1" applyFont="1" applyBorder="1" applyAlignment="1">
      <alignment horizontal="right"/>
    </xf>
    <xf numFmtId="165" fontId="12" fillId="0" borderId="13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left" indent="1"/>
    </xf>
    <xf numFmtId="164" fontId="5" fillId="0" borderId="0" xfId="1" applyNumberFormat="1" applyFont="1" applyBorder="1"/>
    <xf numFmtId="164" fontId="5" fillId="0" borderId="21" xfId="1" applyNumberFormat="1" applyFont="1" applyBorder="1"/>
    <xf numFmtId="43" fontId="5" fillId="0" borderId="14" xfId="1" applyFont="1" applyBorder="1" applyAlignment="1">
      <alignment horizontal="center"/>
    </xf>
    <xf numFmtId="164" fontId="3" fillId="0" borderId="3" xfId="1" applyNumberFormat="1" applyFont="1" applyBorder="1"/>
    <xf numFmtId="164" fontId="3" fillId="0" borderId="13" xfId="1" applyNumberFormat="1" applyFont="1" applyBorder="1"/>
    <xf numFmtId="164" fontId="3" fillId="0" borderId="20" xfId="1" applyNumberFormat="1" applyFont="1" applyBorder="1"/>
    <xf numFmtId="164" fontId="3" fillId="0" borderId="0" xfId="1" applyNumberFormat="1" applyFont="1" applyAlignment="1">
      <alignment horizontal="left"/>
    </xf>
    <xf numFmtId="165" fontId="15" fillId="0" borderId="0" xfId="3" applyNumberFormat="1" applyFont="1" applyAlignment="1">
      <alignment horizontal="right"/>
    </xf>
    <xf numFmtId="165" fontId="15" fillId="0" borderId="14" xfId="3" applyNumberFormat="1" applyFont="1" applyBorder="1" applyAlignment="1">
      <alignment horizontal="right"/>
    </xf>
    <xf numFmtId="164" fontId="15" fillId="0" borderId="0" xfId="1" applyNumberFormat="1" applyFont="1" applyAlignment="1">
      <alignment horizontal="right"/>
    </xf>
    <xf numFmtId="0" fontId="1" fillId="13" borderId="0" xfId="0" applyFont="1" applyFill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5" fillId="14" borderId="0" xfId="0" applyFont="1" applyFill="1" applyAlignment="1">
      <alignment horizontal="center" wrapText="1"/>
    </xf>
    <xf numFmtId="0" fontId="5" fillId="14" borderId="14" xfId="0" applyFont="1" applyFill="1" applyBorder="1" applyAlignment="1">
      <alignment horizontal="center" wrapText="1"/>
    </xf>
    <xf numFmtId="0" fontId="5" fillId="15" borderId="0" xfId="0" applyFont="1" applyFill="1"/>
    <xf numFmtId="0" fontId="5" fillId="15" borderId="14" xfId="0" applyFont="1" applyFill="1" applyBorder="1"/>
    <xf numFmtId="43" fontId="0" fillId="0" borderId="5" xfId="1" applyNumberFormat="1" applyFont="1" applyBorder="1"/>
    <xf numFmtId="10" fontId="0" fillId="0" borderId="5" xfId="3" applyNumberFormat="1" applyFont="1" applyBorder="1"/>
    <xf numFmtId="43" fontId="0" fillId="0" borderId="6" xfId="1" applyNumberFormat="1" applyFont="1" applyBorder="1"/>
    <xf numFmtId="10" fontId="0" fillId="0" borderId="6" xfId="3" applyNumberFormat="1" applyFont="1" applyBorder="1"/>
    <xf numFmtId="44" fontId="0" fillId="0" borderId="5" xfId="2" applyFont="1" applyBorder="1"/>
    <xf numFmtId="0" fontId="21" fillId="0" borderId="0" xfId="0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0" fillId="0" borderId="0" xfId="0" applyFont="1" applyAlignment="1"/>
    <xf numFmtId="170" fontId="0" fillId="0" borderId="0" xfId="0" applyNumberFormat="1"/>
    <xf numFmtId="0" fontId="14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6" fillId="0" borderId="0" xfId="0" applyFont="1"/>
    <xf numFmtId="164" fontId="6" fillId="0" borderId="0" xfId="1" applyNumberFormat="1" applyFont="1"/>
  </cellXfs>
  <cellStyles count="6">
    <cellStyle name="Accent1" xfId="4" builtinId="29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Nike</a:t>
            </a:r>
            <a:r>
              <a:rPr lang="en-US" b="1" baseline="0"/>
              <a:t> Stock Performance (2022)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3430664916885414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60-4605-8B04-7D26B11FE1DF}"/>
                </c:ext>
              </c:extLst>
            </c:dLbl>
            <c:dLbl>
              <c:idx val="2"/>
              <c:layout>
                <c:manualLayout>
                  <c:x val="-2.7097331583552056E-2"/>
                  <c:y val="-5.7835739282589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0-4605-8B04-7D26B11FE1DF}"/>
                </c:ext>
              </c:extLst>
            </c:dLbl>
            <c:dLbl>
              <c:idx val="3"/>
              <c:layout>
                <c:manualLayout>
                  <c:x val="-5.2097331583552106E-2"/>
                  <c:y val="5.3275371828521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0-4605-8B04-7D26B11FE1DF}"/>
                </c:ext>
              </c:extLst>
            </c:dLbl>
            <c:dLbl>
              <c:idx val="4"/>
              <c:layout>
                <c:manualLayout>
                  <c:x val="-7.7875109361329783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60-4605-8B04-7D26B11FE1DF}"/>
                </c:ext>
              </c:extLst>
            </c:dLbl>
            <c:dLbl>
              <c:idx val="6"/>
              <c:layout>
                <c:manualLayout>
                  <c:x val="-5.2097331583552058E-2"/>
                  <c:y val="6.253463108778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0-4605-8B04-7D26B11FE1DF}"/>
                </c:ext>
              </c:extLst>
            </c:dLbl>
            <c:dLbl>
              <c:idx val="7"/>
              <c:layout>
                <c:manualLayout>
                  <c:x val="-8.6208442694663268E-2"/>
                  <c:y val="-5.783573928258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60-4605-8B04-7D26B11FE1DF}"/>
                </c:ext>
              </c:extLst>
            </c:dLbl>
            <c:dLbl>
              <c:idx val="10"/>
              <c:layout>
                <c:manualLayout>
                  <c:x val="-5.2875109361329935E-2"/>
                  <c:y val="5.327537182852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0-4605-8B04-7D26B11FE1DF}"/>
                </c:ext>
              </c:extLst>
            </c:dLbl>
            <c:dLbl>
              <c:idx val="11"/>
              <c:layout>
                <c:manualLayout>
                  <c:x val="-3.6208442694663272E-2"/>
                  <c:y val="-4.857648002333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60-4605-8B04-7D26B11FE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'Investment Notes'!$I$4:$I$15</c:f>
              <c:numCache>
                <c:formatCode>General</c:formatCode>
                <c:ptCount val="12"/>
                <c:pt idx="0">
                  <c:v>117.01</c:v>
                </c:pt>
                <c:pt idx="1">
                  <c:v>109.69</c:v>
                </c:pt>
                <c:pt idx="2">
                  <c:v>92.68</c:v>
                </c:pt>
                <c:pt idx="3">
                  <c:v>83.12</c:v>
                </c:pt>
                <c:pt idx="4">
                  <c:v>106.45</c:v>
                </c:pt>
                <c:pt idx="5">
                  <c:v>114.92</c:v>
                </c:pt>
                <c:pt idx="6">
                  <c:v>102.2</c:v>
                </c:pt>
                <c:pt idx="7">
                  <c:v>118.85</c:v>
                </c:pt>
                <c:pt idx="8">
                  <c:v>124.7</c:v>
                </c:pt>
                <c:pt idx="9">
                  <c:v>134.56</c:v>
                </c:pt>
                <c:pt idx="10">
                  <c:v>136.55000000000001</c:v>
                </c:pt>
                <c:pt idx="11">
                  <c:v>148.07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0-4605-8B04-7D26B11FE1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191684863"/>
        <c:axId val="1191679103"/>
      </c:scatterChart>
      <c:valAx>
        <c:axId val="1191684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        	       Aug	               April	                       Jan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crossAx val="1191679103"/>
        <c:crosses val="autoZero"/>
        <c:crossBetween val="midCat"/>
      </c:valAx>
      <c:valAx>
        <c:axId val="119167910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684863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S&amp;P 500 Index Stock Performance (2022)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222222222222221E-2"/>
                  <c:y val="6.716426071741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94-41EB-BC75-5FFC98CF9BF2}"/>
                </c:ext>
              </c:extLst>
            </c:dLbl>
            <c:dLbl>
              <c:idx val="2"/>
              <c:layout>
                <c:manualLayout>
                  <c:x val="-4.100000000000005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94-41EB-BC75-5FFC98CF9BF2}"/>
                </c:ext>
              </c:extLst>
            </c:dLbl>
            <c:dLbl>
              <c:idx val="3"/>
              <c:layout>
                <c:manualLayout>
                  <c:x val="3.4444444444443937E-3"/>
                  <c:y val="1.1608705161854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94-41EB-BC75-5FFC98CF9BF2}"/>
                </c:ext>
              </c:extLst>
            </c:dLbl>
            <c:dLbl>
              <c:idx val="4"/>
              <c:layout>
                <c:manualLayout>
                  <c:x val="-7.1555555555555553E-2"/>
                  <c:y val="-4.8576480023330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94-41EB-BC75-5FFC98CF9BF2}"/>
                </c:ext>
              </c:extLst>
            </c:dLbl>
            <c:dLbl>
              <c:idx val="6"/>
              <c:layout>
                <c:manualLayout>
                  <c:x val="-5.2111111111111108E-2"/>
                  <c:y val="5.790500145815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94-41EB-BC75-5FFC98CF9BF2}"/>
                </c:ext>
              </c:extLst>
            </c:dLbl>
            <c:dLbl>
              <c:idx val="8"/>
              <c:layout>
                <c:manualLayout>
                  <c:x val="-4.3777777777777777E-2"/>
                  <c:y val="5.7905001458151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94-41EB-BC75-5FFC98CF9BF2}"/>
                </c:ext>
              </c:extLst>
            </c:dLbl>
            <c:dLbl>
              <c:idx val="10"/>
              <c:layout>
                <c:manualLayout>
                  <c:x val="-5.2111111111111108E-2"/>
                  <c:y val="4.8645742198891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94-41EB-BC75-5FFC98CF9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'Investment Notes'!$I$20:$I$31</c:f>
              <c:numCache>
                <c:formatCode>_(* #,##0_);_(* \(#,##0\);_(* "-"??_);_(@_)</c:formatCode>
                <c:ptCount val="12"/>
                <c:pt idx="0">
                  <c:v>3839</c:v>
                </c:pt>
                <c:pt idx="1">
                  <c:v>4080</c:v>
                </c:pt>
                <c:pt idx="2">
                  <c:v>3871</c:v>
                </c:pt>
                <c:pt idx="3">
                  <c:v>3585</c:v>
                </c:pt>
                <c:pt idx="4">
                  <c:v>3955</c:v>
                </c:pt>
                <c:pt idx="5">
                  <c:v>4130</c:v>
                </c:pt>
                <c:pt idx="6">
                  <c:v>3785</c:v>
                </c:pt>
                <c:pt idx="7">
                  <c:v>4132</c:v>
                </c:pt>
                <c:pt idx="8">
                  <c:v>4131</c:v>
                </c:pt>
                <c:pt idx="9">
                  <c:v>4530</c:v>
                </c:pt>
                <c:pt idx="10">
                  <c:v>4373</c:v>
                </c:pt>
                <c:pt idx="11">
                  <c:v>4515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94-41EB-BC75-5FFC98CF9BF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191684863"/>
        <c:axId val="1191679103"/>
      </c:scatterChart>
      <c:valAx>
        <c:axId val="1191684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        	       Aug	               April	                       Jan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crossAx val="1191679103"/>
        <c:crosses val="autoZero"/>
        <c:crossBetween val="midCat"/>
      </c:valAx>
      <c:valAx>
        <c:axId val="1191679103"/>
        <c:scaling>
          <c:orientation val="minMax"/>
          <c:max val="4700"/>
          <c:min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684863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2</xdr:row>
      <xdr:rowOff>224790</xdr:rowOff>
    </xdr:from>
    <xdr:to>
      <xdr:col>16</xdr:col>
      <xdr:colOff>38100</xdr:colOff>
      <xdr:row>17</xdr:row>
      <xdr:rowOff>179070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F337892-36A0-C50A-77AB-8A60649E2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</xdr:colOff>
      <xdr:row>19</xdr:row>
      <xdr:rowOff>0</xdr:rowOff>
    </xdr:from>
    <xdr:to>
      <xdr:col>16</xdr:col>
      <xdr:colOff>38100</xdr:colOff>
      <xdr:row>34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599AA77-0C2A-4C5B-8C75-F4B984DD2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5-%20CAPM%20Formulas%20PV%20Calculations.xlsx" TargetMode="External"/><Relationship Id="rId1" Type="http://schemas.openxmlformats.org/officeDocument/2006/relationships/externalLinkPath" Target="Task%2015-%20CAPM%20Formulas%20PV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0%20-%20Linking%20Balance%20sheet.xlsx" TargetMode="External"/><Relationship Id="rId1" Type="http://schemas.openxmlformats.org/officeDocument/2006/relationships/externalLinkPath" Target="Task%2010%20-%20Linking%20Balance%20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1%20-%20Linking%20Cash%20Flow%20Statement.xlsx" TargetMode="External"/><Relationship Id="rId1" Type="http://schemas.openxmlformats.org/officeDocument/2006/relationships/externalLinkPath" Target="Task%2011%20-%20Linking%20Cash%20Flow%20Stat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3%20-%20Forecasting%20the%20Three%20Statements.xlsx" TargetMode="External"/><Relationship Id="rId1" Type="http://schemas.openxmlformats.org/officeDocument/2006/relationships/externalLinkPath" Target="Task%2013%20-%20Forecasting%20the%20Three%20Stat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  <sheetName val="Instructions"/>
      <sheetName val="Schedules"/>
    </sheetNames>
    <sheetDataSet>
      <sheetData sheetId="0"/>
      <sheetData sheetId="1"/>
      <sheetData sheetId="2"/>
      <sheetData sheetId="3"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  <cell r="J5">
            <v>8086.4839699854401</v>
          </cell>
          <cell r="K5">
            <v>8671.8983670502039</v>
          </cell>
          <cell r="L5">
            <v>9339.0622108830576</v>
          </cell>
          <cell r="M5">
            <v>10099.160532284699</v>
          </cell>
          <cell r="N5">
            <v>10964.932476343067</v>
          </cell>
        </row>
        <row r="10">
          <cell r="B10">
            <v>28</v>
          </cell>
          <cell r="C10">
            <v>19</v>
          </cell>
          <cell r="D10">
            <v>59</v>
          </cell>
          <cell r="E10">
            <v>54</v>
          </cell>
          <cell r="F10">
            <v>49</v>
          </cell>
          <cell r="G10">
            <v>89</v>
          </cell>
          <cell r="H10">
            <v>262</v>
          </cell>
          <cell r="I10">
            <v>205</v>
          </cell>
          <cell r="J10">
            <v>211.86510346750083</v>
          </cell>
          <cell r="K10">
            <v>226.73769504201888</v>
          </cell>
          <cell r="L10">
            <v>242.94988735948922</v>
          </cell>
          <cell r="M10">
            <v>260.66734440622434</v>
          </cell>
          <cell r="N10">
            <v>280.0692788563922</v>
          </cell>
        </row>
        <row r="15">
          <cell r="B15">
            <v>0.22164090368608799</v>
          </cell>
          <cell r="C15">
            <v>0.18667531905688947</v>
          </cell>
          <cell r="D15">
            <v>0.13221449038067951</v>
          </cell>
          <cell r="E15">
            <v>0.55306358381502885</v>
          </cell>
          <cell r="F15">
            <v>0.16079983336804832</v>
          </cell>
          <cell r="G15">
            <v>0.12054035330793211</v>
          </cell>
          <cell r="H15">
            <v>0.14021918630836211</v>
          </cell>
          <cell r="I15">
            <v>9.0963764847391368E-2</v>
          </cell>
          <cell r="J15">
            <v>8.7631141314625571E-2</v>
          </cell>
          <cell r="K15">
            <v>8.7112664108042193E-2</v>
          </cell>
          <cell r="L15">
            <v>8.6319494012820713E-2</v>
          </cell>
          <cell r="M15">
            <v>8.5280762369556104E-2</v>
          </cell>
          <cell r="N15">
            <v>8.4026050774187303E-2</v>
          </cell>
        </row>
        <row r="16">
          <cell r="B16">
            <v>3273</v>
          </cell>
          <cell r="C16">
            <v>3760</v>
          </cell>
          <cell r="D16">
            <v>4240</v>
          </cell>
          <cell r="E16">
            <v>1933</v>
          </cell>
          <cell r="F16">
            <v>4029</v>
          </cell>
          <cell r="G16">
            <v>2539</v>
          </cell>
          <cell r="H16">
            <v>5727</v>
          </cell>
          <cell r="I16">
            <v>6046</v>
          </cell>
          <cell r="J16">
            <v>6509.879180902265</v>
          </cell>
          <cell r="K16">
            <v>7012.3103313472275</v>
          </cell>
          <cell r="L16">
            <v>7589.3343943725349</v>
          </cell>
          <cell r="M16">
            <v>8251.3475458110115</v>
          </cell>
          <cell r="N16">
            <v>9010.2358026630827</v>
          </cell>
        </row>
        <row r="17">
          <cell r="B17">
            <v>884.4</v>
          </cell>
          <cell r="C17">
            <v>1742.5</v>
          </cell>
          <cell r="D17">
            <v>1692</v>
          </cell>
          <cell r="E17">
            <v>1659.1</v>
          </cell>
          <cell r="F17">
            <v>1618.4</v>
          </cell>
          <cell r="G17">
            <v>1591.6</v>
          </cell>
          <cell r="H17">
            <v>1609.4</v>
          </cell>
          <cell r="I17">
            <v>1610.8</v>
          </cell>
          <cell r="J17">
            <v>1579.0068556333886</v>
          </cell>
          <cell r="K17">
            <v>1550.3202372984231</v>
          </cell>
          <cell r="L17">
            <v>1524.4366045879638</v>
          </cell>
          <cell r="M17">
            <v>1506.9207082961718</v>
          </cell>
          <cell r="N17">
            <v>1491.1163000903209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  <cell r="J25">
            <v>6745.7486929944125</v>
          </cell>
          <cell r="K25">
            <v>6899.855423502212</v>
          </cell>
          <cell r="L25">
            <v>4169.7684251817936</v>
          </cell>
          <cell r="M25">
            <v>2552.8464958012778</v>
          </cell>
          <cell r="N25">
            <v>2057.4037938818178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  <cell r="J33">
            <v>295.57765654490362</v>
          </cell>
          <cell r="K33">
            <v>316.32673552203613</v>
          </cell>
          <cell r="L33">
            <v>338.9447209015313</v>
          </cell>
          <cell r="M33">
            <v>363.66273414722031</v>
          </cell>
          <cell r="N33">
            <v>390.73079879477154</v>
          </cell>
        </row>
        <row r="37">
          <cell r="B37">
            <v>21597</v>
          </cell>
          <cell r="C37">
            <v>21396</v>
          </cell>
          <cell r="D37">
            <v>23259</v>
          </cell>
          <cell r="E37">
            <v>22536</v>
          </cell>
          <cell r="F37">
            <v>23717</v>
          </cell>
          <cell r="G37">
            <v>31342</v>
          </cell>
          <cell r="H37">
            <v>37740</v>
          </cell>
          <cell r="I37">
            <v>40321</v>
          </cell>
          <cell r="J37">
            <v>39994.163565491646</v>
          </cell>
          <cell r="K37">
            <v>42524.419332553472</v>
          </cell>
          <cell r="L37">
            <v>42317.597878859378</v>
          </cell>
          <cell r="M37">
            <v>43527.966394497998</v>
          </cell>
          <cell r="N37">
            <v>46061.20435795404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  <cell r="J39">
            <v>0</v>
          </cell>
          <cell r="K39">
            <v>1000</v>
          </cell>
          <cell r="L39">
            <v>1000</v>
          </cell>
          <cell r="M39">
            <v>1000</v>
          </cell>
          <cell r="N39">
            <v>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  <cell r="J40">
            <v>10.33488309597565</v>
          </cell>
          <cell r="K40">
            <v>11.06037536790336</v>
          </cell>
          <cell r="L40">
            <v>11.85121401753606</v>
          </cell>
          <cell r="M40">
            <v>12.715480214937774</v>
          </cell>
          <cell r="N40">
            <v>13.661916041775228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  <cell r="J41">
            <v>3582.9074872572473</v>
          </cell>
          <cell r="K41">
            <v>3845.2406098266501</v>
          </cell>
          <cell r="L41">
            <v>4114.0347243505685</v>
          </cell>
          <cell r="M41">
            <v>4425.6817880016397</v>
          </cell>
          <cell r="N41">
            <v>4749.6610256546055</v>
          </cell>
        </row>
        <row r="42">
          <cell r="B42">
            <v>4020</v>
          </cell>
          <cell r="C42">
            <v>3122</v>
          </cell>
          <cell r="D42">
            <v>3095</v>
          </cell>
          <cell r="E42">
            <v>3419</v>
          </cell>
          <cell r="F42">
            <v>5239</v>
          </cell>
          <cell r="G42">
            <v>5785</v>
          </cell>
          <cell r="H42">
            <v>6836</v>
          </cell>
          <cell r="I42">
            <v>6862</v>
          </cell>
          <cell r="J42">
            <v>7091.7967804584905</v>
          </cell>
          <cell r="K42">
            <v>7589.6295774552855</v>
          </cell>
          <cell r="L42">
            <v>8132.3030588332431</v>
          </cell>
          <cell r="M42">
            <v>8725.3625234902993</v>
          </cell>
          <cell r="N42">
            <v>9374.8067878661604</v>
          </cell>
        </row>
        <row r="43">
          <cell r="B43">
            <v>1079</v>
          </cell>
          <cell r="C43">
            <v>2010</v>
          </cell>
          <cell r="D43">
            <v>3471</v>
          </cell>
          <cell r="E43">
            <v>3468</v>
          </cell>
          <cell r="F43">
            <v>3464</v>
          </cell>
          <cell r="G43">
            <v>9406</v>
          </cell>
          <cell r="H43">
            <v>9413</v>
          </cell>
          <cell r="I43">
            <v>8920</v>
          </cell>
          <cell r="J43">
            <v>9218.7157216102787</v>
          </cell>
          <cell r="K43">
            <v>9865.8548281697967</v>
          </cell>
          <cell r="L43">
            <v>10571.282903642164</v>
          </cell>
          <cell r="M43">
            <v>11342.208351724494</v>
          </cell>
          <cell r="N43">
            <v>12186.429109263503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2913</v>
          </cell>
          <cell r="H44">
            <v>2931</v>
          </cell>
          <cell r="I44">
            <v>2777</v>
          </cell>
          <cell r="J44">
            <v>2869.997035752438</v>
          </cell>
          <cell r="K44">
            <v>3071.4662396667632</v>
          </cell>
          <cell r="L44">
            <v>3291.0821326697637</v>
          </cell>
          <cell r="M44">
            <v>3531.0888556882196</v>
          </cell>
          <cell r="N44">
            <v>3793.9140848009811</v>
          </cell>
        </row>
        <row r="45">
          <cell r="B45">
            <v>1479</v>
          </cell>
          <cell r="C45">
            <v>1770</v>
          </cell>
          <cell r="D45">
            <v>1907</v>
          </cell>
          <cell r="E45">
            <v>3216</v>
          </cell>
          <cell r="F45">
            <v>3347</v>
          </cell>
          <cell r="G45">
            <v>2684</v>
          </cell>
          <cell r="H45">
            <v>2955</v>
          </cell>
          <cell r="I45">
            <v>2613</v>
          </cell>
          <cell r="J45">
            <v>3223.1049529784373</v>
          </cell>
          <cell r="K45">
            <v>2890.0760836331478</v>
          </cell>
          <cell r="L45">
            <v>3096.7222227821721</v>
          </cell>
          <cell r="M45">
            <v>3322.5549801632401</v>
          </cell>
          <cell r="N45">
            <v>3569.8586617158671</v>
          </cell>
        </row>
        <row r="47">
          <cell r="B47">
            <v>3</v>
          </cell>
          <cell r="C47">
            <v>3</v>
          </cell>
          <cell r="D47">
            <v>3</v>
          </cell>
          <cell r="E47">
            <v>3</v>
          </cell>
          <cell r="F47">
            <v>3</v>
          </cell>
          <cell r="G47">
            <v>3</v>
          </cell>
          <cell r="H47">
            <v>3</v>
          </cell>
          <cell r="I47">
            <v>3</v>
          </cell>
          <cell r="J47">
            <v>3.1004649287926949</v>
          </cell>
          <cell r="K47">
            <v>3.3181126103710081</v>
          </cell>
          <cell r="L47">
            <v>3.5553642052608181</v>
          </cell>
          <cell r="M47">
            <v>3.8146440644813322</v>
          </cell>
          <cell r="N47">
            <v>4.0985748125325685</v>
          </cell>
        </row>
        <row r="48">
          <cell r="B48">
            <v>4685</v>
          </cell>
          <cell r="C48">
            <v>4151</v>
          </cell>
          <cell r="D48">
            <v>6907</v>
          </cell>
          <cell r="E48">
            <v>3517</v>
          </cell>
          <cell r="F48">
            <v>1643</v>
          </cell>
          <cell r="G48">
            <v>-191</v>
          </cell>
          <cell r="H48">
            <v>3179</v>
          </cell>
          <cell r="I48">
            <v>3476</v>
          </cell>
          <cell r="J48">
            <v>3995.5802195222077</v>
          </cell>
          <cell r="K48">
            <v>4848.046063264127</v>
          </cell>
          <cell r="L48">
            <v>6090.033968661679</v>
          </cell>
          <cell r="M48">
            <v>8776.7498618987011</v>
          </cell>
          <cell r="N48">
            <v>11982.114743136019</v>
          </cell>
        </row>
        <row r="49">
          <cell r="B49">
            <v>6773</v>
          </cell>
          <cell r="C49">
            <v>7786</v>
          </cell>
          <cell r="D49">
            <v>5710</v>
          </cell>
          <cell r="E49">
            <v>6384</v>
          </cell>
          <cell r="F49">
            <v>7163</v>
          </cell>
          <cell r="G49">
            <v>8299</v>
          </cell>
          <cell r="H49">
            <v>9965</v>
          </cell>
          <cell r="I49">
            <v>11484</v>
          </cell>
          <cell r="J49">
            <v>9669.9767374357543</v>
          </cell>
          <cell r="K49">
            <v>9048.0075058600996</v>
          </cell>
          <cell r="L49">
            <v>5629.8636839393366</v>
          </cell>
          <cell r="M49">
            <v>1983.4376384169591</v>
          </cell>
          <cell r="N49">
            <v>-47.789475465862779</v>
          </cell>
        </row>
        <row r="50">
          <cell r="B50">
            <v>1246</v>
          </cell>
          <cell r="C50">
            <v>318</v>
          </cell>
          <cell r="D50">
            <v>-213</v>
          </cell>
          <cell r="E50">
            <v>-92</v>
          </cell>
          <cell r="F50">
            <v>231</v>
          </cell>
          <cell r="G50">
            <v>-56</v>
          </cell>
          <cell r="H50">
            <v>-380</v>
          </cell>
          <cell r="I50">
            <v>318</v>
          </cell>
          <cell r="J50">
            <v>328.64928245202566</v>
          </cell>
          <cell r="K50">
            <v>351.71993669932687</v>
          </cell>
          <cell r="L50">
            <v>376.86860575764672</v>
          </cell>
          <cell r="M50">
            <v>404.35227083502122</v>
          </cell>
          <cell r="N50">
            <v>434.44893012845228</v>
          </cell>
        </row>
        <row r="51">
          <cell r="B51">
            <v>21597</v>
          </cell>
          <cell r="C51">
            <v>21396</v>
          </cell>
          <cell r="D51">
            <v>23259</v>
          </cell>
          <cell r="E51">
            <v>22536</v>
          </cell>
          <cell r="F51">
            <v>23717</v>
          </cell>
          <cell r="G51">
            <v>31342</v>
          </cell>
          <cell r="H51">
            <v>37740</v>
          </cell>
          <cell r="I51">
            <v>40321</v>
          </cell>
          <cell r="J51">
            <v>39994.163565491646</v>
          </cell>
          <cell r="K51">
            <v>42524.419332553472</v>
          </cell>
          <cell r="L51">
            <v>42317.597878859378</v>
          </cell>
          <cell r="M51">
            <v>43527.966394497998</v>
          </cell>
          <cell r="N51">
            <v>46061.20435795404</v>
          </cell>
        </row>
        <row r="61">
          <cell r="B61">
            <v>4770.7940546967893</v>
          </cell>
          <cell r="C61">
            <v>5652.4531689379191</v>
          </cell>
          <cell r="D61">
            <v>6642.19934506754</v>
          </cell>
          <cell r="E61">
            <v>3261.1345664739883</v>
          </cell>
          <cell r="F61">
            <v>6551.1208081649656</v>
          </cell>
          <cell r="G61">
            <v>5287.2719085555946</v>
          </cell>
          <cell r="H61">
            <v>7878.2625731872085</v>
          </cell>
          <cell r="I61">
            <v>8918.3524282062863</v>
          </cell>
          <cell r="J61">
            <v>9217.0129754222544</v>
          </cell>
          <cell r="K61">
            <v>9864.032551921393</v>
          </cell>
          <cell r="L61">
            <v>10569.33033104851</v>
          </cell>
          <cell r="M61">
            <v>11340.113385069928</v>
          </cell>
          <cell r="N61">
            <v>12184.178210511653</v>
          </cell>
        </row>
        <row r="79">
          <cell r="B79">
            <v>49.87</v>
          </cell>
          <cell r="C79">
            <v>51.4</v>
          </cell>
          <cell r="D79">
            <v>51.57</v>
          </cell>
          <cell r="E79">
            <v>68.37</v>
          </cell>
          <cell r="F79">
            <v>82.19</v>
          </cell>
          <cell r="G79">
            <v>101.95</v>
          </cell>
          <cell r="H79">
            <v>145.4</v>
          </cell>
          <cell r="I79">
            <v>113.52</v>
          </cell>
          <cell r="J79">
            <v>125.81328709974136</v>
          </cell>
          <cell r="K79">
            <v>139.43783660008762</v>
          </cell>
          <cell r="L79">
            <v>154.53781332570162</v>
          </cell>
          <cell r="M79">
            <v>171.2729939720995</v>
          </cell>
          <cell r="N79">
            <v>189.82045774351678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3.7008141112618724</v>
          </cell>
          <cell r="C15">
            <v>2.1578192252510759</v>
          </cell>
          <cell r="D15">
            <v>2.5059101654846336</v>
          </cell>
          <cell r="E15">
            <v>1.1650895063588693</v>
          </cell>
          <cell r="F15">
            <v>2.4894957983193278</v>
          </cell>
          <cell r="G15">
            <v>1.5952500628298569</v>
          </cell>
          <cell r="H15">
            <v>3.56</v>
          </cell>
          <cell r="I15">
            <v>3.75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7">
          <cell r="B27">
            <v>3852</v>
          </cell>
          <cell r="C27">
            <v>3138</v>
          </cell>
          <cell r="D27">
            <v>3808</v>
          </cell>
          <cell r="E27">
            <v>4249</v>
          </cell>
          <cell r="F27">
            <v>4466</v>
          </cell>
          <cell r="G27">
            <v>8348</v>
          </cell>
          <cell r="H27">
            <v>9889</v>
          </cell>
          <cell r="I27">
            <v>8574</v>
          </cell>
        </row>
        <row r="28">
          <cell r="B28">
            <v>2072</v>
          </cell>
          <cell r="C28">
            <v>2319</v>
          </cell>
          <cell r="D28">
            <v>2371</v>
          </cell>
          <cell r="E28">
            <v>996</v>
          </cell>
          <cell r="F28">
            <v>197</v>
          </cell>
          <cell r="G28">
            <v>439</v>
          </cell>
          <cell r="H28">
            <v>3587</v>
          </cell>
          <cell r="I28">
            <v>4423</v>
          </cell>
        </row>
        <row r="29">
          <cell r="B29">
            <v>3358</v>
          </cell>
          <cell r="C29">
            <v>3241</v>
          </cell>
          <cell r="D29">
            <v>3677</v>
          </cell>
          <cell r="E29">
            <v>3498</v>
          </cell>
          <cell r="F29">
            <v>4272</v>
          </cell>
          <cell r="G29">
            <v>2749</v>
          </cell>
          <cell r="H29">
            <v>4463</v>
          </cell>
          <cell r="I29">
            <v>4667</v>
          </cell>
        </row>
        <row r="30">
          <cell r="B30">
            <v>4337</v>
          </cell>
          <cell r="C30">
            <v>4838</v>
          </cell>
          <cell r="D30">
            <v>5055</v>
          </cell>
          <cell r="E30">
            <v>5261</v>
          </cell>
          <cell r="F30">
            <v>5622</v>
          </cell>
          <cell r="G30">
            <v>7367</v>
          </cell>
          <cell r="H30">
            <v>6854</v>
          </cell>
          <cell r="I30">
            <v>8420</v>
          </cell>
        </row>
        <row r="31">
          <cell r="B31">
            <v>1968</v>
          </cell>
          <cell r="C31">
            <v>1489</v>
          </cell>
          <cell r="D31">
            <v>1150</v>
          </cell>
          <cell r="E31">
            <v>1130</v>
          </cell>
          <cell r="F31">
            <v>1968</v>
          </cell>
          <cell r="G31">
            <v>1653</v>
          </cell>
          <cell r="H31">
            <v>1498</v>
          </cell>
          <cell r="I31">
            <v>2129</v>
          </cell>
        </row>
        <row r="33">
          <cell r="B33">
            <v>3011</v>
          </cell>
          <cell r="C33">
            <v>3520</v>
          </cell>
          <cell r="D33">
            <v>3989</v>
          </cell>
          <cell r="E33">
            <v>4454</v>
          </cell>
          <cell r="F33">
            <v>4744</v>
          </cell>
          <cell r="G33">
            <v>4866</v>
          </cell>
          <cell r="H33">
            <v>4904</v>
          </cell>
          <cell r="I33">
            <v>4791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3097</v>
          </cell>
          <cell r="H34">
            <v>3113</v>
          </cell>
          <cell r="I34">
            <v>2926</v>
          </cell>
        </row>
        <row r="35">
          <cell r="B35">
            <v>281</v>
          </cell>
          <cell r="C35">
            <v>281</v>
          </cell>
          <cell r="D35">
            <v>283</v>
          </cell>
          <cell r="E35">
            <v>285</v>
          </cell>
          <cell r="F35">
            <v>283</v>
          </cell>
          <cell r="G35">
            <v>274</v>
          </cell>
          <cell r="H35">
            <v>269</v>
          </cell>
          <cell r="I35">
            <v>286</v>
          </cell>
        </row>
        <row r="36">
          <cell r="B36">
            <v>131</v>
          </cell>
          <cell r="C36">
            <v>131</v>
          </cell>
          <cell r="D36">
            <v>139</v>
          </cell>
          <cell r="E36">
            <v>154</v>
          </cell>
          <cell r="F36">
            <v>154</v>
          </cell>
          <cell r="G36">
            <v>223</v>
          </cell>
          <cell r="H36">
            <v>242</v>
          </cell>
          <cell r="I36">
            <v>284</v>
          </cell>
        </row>
        <row r="37">
          <cell r="B37">
            <v>2587</v>
          </cell>
          <cell r="C37">
            <v>2439</v>
          </cell>
          <cell r="D37">
            <v>2787</v>
          </cell>
          <cell r="E37">
            <v>2509</v>
          </cell>
          <cell r="F37">
            <v>2011</v>
          </cell>
          <cell r="G37">
            <v>2326</v>
          </cell>
          <cell r="H37">
            <v>2921</v>
          </cell>
          <cell r="I37">
            <v>3821</v>
          </cell>
        </row>
        <row r="38">
          <cell r="B38">
            <v>21597</v>
          </cell>
          <cell r="C38">
            <v>21396</v>
          </cell>
          <cell r="D38">
            <v>23259</v>
          </cell>
          <cell r="E38">
            <v>22536</v>
          </cell>
          <cell r="F38">
            <v>23717</v>
          </cell>
          <cell r="G38">
            <v>31342</v>
          </cell>
          <cell r="H38">
            <v>37740</v>
          </cell>
          <cell r="I38">
            <v>40321</v>
          </cell>
        </row>
        <row r="41">
          <cell r="B41">
            <v>107</v>
          </cell>
          <cell r="C41">
            <v>44</v>
          </cell>
          <cell r="D41">
            <v>6</v>
          </cell>
          <cell r="E41">
            <v>6</v>
          </cell>
          <cell r="F41">
            <v>6</v>
          </cell>
          <cell r="G41">
            <v>3</v>
          </cell>
          <cell r="H41">
            <v>0</v>
          </cell>
          <cell r="I41">
            <v>500</v>
          </cell>
        </row>
        <row r="42">
          <cell r="B42">
            <v>74</v>
          </cell>
          <cell r="C42">
            <v>1</v>
          </cell>
          <cell r="D42">
            <v>325</v>
          </cell>
          <cell r="E42">
            <v>336</v>
          </cell>
          <cell r="F42">
            <v>9</v>
          </cell>
          <cell r="G42">
            <v>248</v>
          </cell>
          <cell r="H42">
            <v>2</v>
          </cell>
          <cell r="I42">
            <v>10</v>
          </cell>
        </row>
        <row r="43">
          <cell r="B43">
            <v>2131</v>
          </cell>
          <cell r="C43">
            <v>2191</v>
          </cell>
          <cell r="D43">
            <v>2048</v>
          </cell>
          <cell r="E43">
            <v>2279</v>
          </cell>
          <cell r="F43">
            <v>2612</v>
          </cell>
          <cell r="G43">
            <v>2248</v>
          </cell>
          <cell r="H43">
            <v>2836</v>
          </cell>
          <cell r="I43">
            <v>3358</v>
          </cell>
        </row>
        <row r="44">
          <cell r="B44">
            <v>3949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  <cell r="H44">
            <v>467</v>
          </cell>
          <cell r="I44">
            <v>420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445</v>
          </cell>
          <cell r="H45">
            <v>6063</v>
          </cell>
          <cell r="I45">
            <v>6220</v>
          </cell>
        </row>
        <row r="46">
          <cell r="B46">
            <v>71</v>
          </cell>
          <cell r="C46">
            <v>85</v>
          </cell>
          <cell r="D46">
            <v>84</v>
          </cell>
          <cell r="E46">
            <v>150</v>
          </cell>
          <cell r="F46">
            <v>229</v>
          </cell>
          <cell r="G46">
            <v>156</v>
          </cell>
          <cell r="H46">
            <v>306</v>
          </cell>
          <cell r="I46">
            <v>222</v>
          </cell>
        </row>
        <row r="48">
          <cell r="B48">
            <v>1079</v>
          </cell>
          <cell r="C48">
            <v>2010</v>
          </cell>
          <cell r="D48">
            <v>3471</v>
          </cell>
          <cell r="E48">
            <v>3468</v>
          </cell>
          <cell r="F48">
            <v>3464</v>
          </cell>
          <cell r="G48">
            <v>9406</v>
          </cell>
          <cell r="H48">
            <v>9413</v>
          </cell>
          <cell r="I48">
            <v>8920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2913</v>
          </cell>
          <cell r="H49">
            <v>2931</v>
          </cell>
          <cell r="I49">
            <v>2777</v>
          </cell>
        </row>
        <row r="50">
          <cell r="B50">
            <v>1479</v>
          </cell>
          <cell r="C50">
            <v>1770</v>
          </cell>
          <cell r="D50">
            <v>1907</v>
          </cell>
          <cell r="E50">
            <v>3216</v>
          </cell>
          <cell r="F50">
            <v>3347</v>
          </cell>
          <cell r="G50">
            <v>2684</v>
          </cell>
          <cell r="H50">
            <v>2955</v>
          </cell>
          <cell r="I50">
            <v>2613</v>
          </cell>
        </row>
        <row r="56">
          <cell r="B56">
            <v>3</v>
          </cell>
          <cell r="C56">
            <v>3</v>
          </cell>
          <cell r="D56">
            <v>3</v>
          </cell>
          <cell r="E56">
            <v>3</v>
          </cell>
          <cell r="F56">
            <v>3</v>
          </cell>
          <cell r="G56">
            <v>3</v>
          </cell>
          <cell r="H56">
            <v>3</v>
          </cell>
          <cell r="I56">
            <v>3</v>
          </cell>
        </row>
        <row r="59">
          <cell r="B59">
            <v>4685</v>
          </cell>
          <cell r="C59">
            <v>4151</v>
          </cell>
          <cell r="D59">
            <v>6907</v>
          </cell>
          <cell r="E59">
            <v>3517</v>
          </cell>
          <cell r="F59">
            <v>1643</v>
          </cell>
          <cell r="H59">
            <v>3179</v>
          </cell>
          <cell r="I59">
            <v>3476</v>
          </cell>
        </row>
        <row r="61">
          <cell r="B61">
            <v>21597</v>
          </cell>
          <cell r="C61">
            <v>21396</v>
          </cell>
          <cell r="D61">
            <v>23259</v>
          </cell>
          <cell r="E61">
            <v>22536</v>
          </cell>
          <cell r="F61">
            <v>23717</v>
          </cell>
          <cell r="G61">
            <v>31342</v>
          </cell>
          <cell r="H61">
            <v>37740</v>
          </cell>
          <cell r="I61">
            <v>40321</v>
          </cell>
        </row>
        <row r="68">
          <cell r="B68">
            <v>606</v>
          </cell>
          <cell r="C68">
            <v>649</v>
          </cell>
          <cell r="D68">
            <v>706</v>
          </cell>
          <cell r="E68">
            <v>747</v>
          </cell>
          <cell r="F68">
            <v>705</v>
          </cell>
          <cell r="G68">
            <v>721</v>
          </cell>
          <cell r="H68">
            <v>744</v>
          </cell>
          <cell r="I68">
            <v>717</v>
          </cell>
        </row>
        <row r="71">
          <cell r="C71">
            <v>13</v>
          </cell>
          <cell r="D71">
            <v>10</v>
          </cell>
          <cell r="E71">
            <v>27</v>
          </cell>
          <cell r="F71">
            <v>15</v>
          </cell>
          <cell r="G71">
            <v>398</v>
          </cell>
          <cell r="H71">
            <v>53</v>
          </cell>
          <cell r="I71">
            <v>123</v>
          </cell>
        </row>
        <row r="78">
          <cell r="B78">
            <v>4680</v>
          </cell>
          <cell r="C78">
            <v>3096</v>
          </cell>
          <cell r="D78">
            <v>3846</v>
          </cell>
          <cell r="E78">
            <v>4955</v>
          </cell>
          <cell r="F78">
            <v>5903</v>
          </cell>
          <cell r="G78">
            <v>2485</v>
          </cell>
          <cell r="H78">
            <v>6657</v>
          </cell>
          <cell r="I78">
            <v>5188</v>
          </cell>
        </row>
        <row r="80">
          <cell r="B80">
            <v>-4936</v>
          </cell>
          <cell r="C80">
            <v>-5367</v>
          </cell>
          <cell r="D80">
            <v>-5928</v>
          </cell>
          <cell r="E80">
            <v>-4783</v>
          </cell>
          <cell r="F80">
            <v>-2937</v>
          </cell>
          <cell r="G80">
            <v>-2426</v>
          </cell>
          <cell r="H80">
            <v>-9961</v>
          </cell>
          <cell r="I80">
            <v>-12913</v>
          </cell>
        </row>
        <row r="81">
          <cell r="B81">
            <v>3655</v>
          </cell>
          <cell r="C81">
            <v>2924</v>
          </cell>
          <cell r="D81">
            <v>3623</v>
          </cell>
          <cell r="E81">
            <v>3613</v>
          </cell>
          <cell r="F81">
            <v>1715</v>
          </cell>
          <cell r="G81">
            <v>74</v>
          </cell>
          <cell r="H81">
            <v>4236</v>
          </cell>
          <cell r="I81">
            <v>8199</v>
          </cell>
        </row>
        <row r="82">
          <cell r="B82">
            <v>2216</v>
          </cell>
          <cell r="C82">
            <v>2386</v>
          </cell>
          <cell r="D82">
            <v>2423</v>
          </cell>
          <cell r="E82">
            <v>2496</v>
          </cell>
          <cell r="F82">
            <v>2072</v>
          </cell>
          <cell r="G82">
            <v>2379</v>
          </cell>
          <cell r="H82">
            <v>2449</v>
          </cell>
          <cell r="I82">
            <v>3967</v>
          </cell>
        </row>
        <row r="83">
          <cell r="B83">
            <v>-150</v>
          </cell>
          <cell r="C83">
            <v>150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/>
          <cell r="I83"/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85">
          <cell r="B85">
            <v>3</v>
          </cell>
          <cell r="C85">
            <v>10</v>
          </cell>
          <cell r="D85">
            <v>13</v>
          </cell>
          <cell r="E85">
            <v>3</v>
          </cell>
          <cell r="F85">
            <v>5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0</v>
          </cell>
          <cell r="C86">
            <v>6</v>
          </cell>
          <cell r="D86">
            <v>-34</v>
          </cell>
          <cell r="E86">
            <v>-25</v>
          </cell>
          <cell r="F86">
            <v>0</v>
          </cell>
          <cell r="G86">
            <v>31</v>
          </cell>
          <cell r="H86">
            <v>171</v>
          </cell>
          <cell r="I86">
            <v>-19</v>
          </cell>
        </row>
        <row r="87">
          <cell r="B87">
            <v>-175</v>
          </cell>
          <cell r="C87">
            <v>-1034</v>
          </cell>
          <cell r="D87">
            <v>-1008</v>
          </cell>
          <cell r="E87">
            <v>276</v>
          </cell>
          <cell r="F87">
            <v>-264</v>
          </cell>
          <cell r="G87">
            <v>-1028</v>
          </cell>
          <cell r="H87">
            <v>-3800</v>
          </cell>
          <cell r="I87">
            <v>-1524</v>
          </cell>
        </row>
        <row r="89">
          <cell r="B89">
            <v>0</v>
          </cell>
          <cell r="C89">
            <v>981</v>
          </cell>
          <cell r="D89">
            <v>1482</v>
          </cell>
          <cell r="E89">
            <v>0</v>
          </cell>
          <cell r="F89">
            <v>0</v>
          </cell>
          <cell r="G89">
            <v>6134</v>
          </cell>
          <cell r="H89">
            <v>0</v>
          </cell>
          <cell r="I89">
            <v>0</v>
          </cell>
        </row>
        <row r="90">
          <cell r="B90">
            <v>-63</v>
          </cell>
          <cell r="C90">
            <v>-106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-7</v>
          </cell>
          <cell r="C91">
            <v>-67</v>
          </cell>
          <cell r="D91">
            <v>-44</v>
          </cell>
          <cell r="E91">
            <v>-6</v>
          </cell>
          <cell r="F91">
            <v>-6</v>
          </cell>
          <cell r="G91">
            <v>0</v>
          </cell>
          <cell r="H91">
            <v>-197</v>
          </cell>
          <cell r="I91">
            <v>0</v>
          </cell>
        </row>
        <row r="93">
          <cell r="B93">
            <v>218</v>
          </cell>
          <cell r="C93">
            <v>507</v>
          </cell>
          <cell r="D93">
            <v>489</v>
          </cell>
          <cell r="E93">
            <v>733</v>
          </cell>
          <cell r="F93">
            <v>700</v>
          </cell>
          <cell r="G93">
            <v>0</v>
          </cell>
          <cell r="H93">
            <v>0</v>
          </cell>
          <cell r="I93">
            <v>0</v>
          </cell>
        </row>
        <row r="95">
          <cell r="B95">
            <v>-899</v>
          </cell>
          <cell r="C95">
            <v>-3238</v>
          </cell>
          <cell r="D95">
            <v>-1133</v>
          </cell>
          <cell r="E95">
            <v>-1243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>
            <v>-19</v>
          </cell>
          <cell r="C96">
            <v>-1022</v>
          </cell>
          <cell r="D96">
            <v>-29</v>
          </cell>
          <cell r="E96">
            <v>-55</v>
          </cell>
          <cell r="F96">
            <v>-17</v>
          </cell>
          <cell r="G96">
            <v>-58</v>
          </cell>
          <cell r="H96">
            <v>-136</v>
          </cell>
          <cell r="I96">
            <v>-151</v>
          </cell>
        </row>
        <row r="97">
          <cell r="B97">
            <v>-2790</v>
          </cell>
          <cell r="C97">
            <v>-2671</v>
          </cell>
          <cell r="D97">
            <v>-2148</v>
          </cell>
          <cell r="E97">
            <v>-4835</v>
          </cell>
          <cell r="F97">
            <v>-5293</v>
          </cell>
          <cell r="G97">
            <v>2491</v>
          </cell>
          <cell r="H97">
            <v>-1459</v>
          </cell>
          <cell r="I97">
            <v>-4836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99">
          <cell r="B99">
            <v>1632</v>
          </cell>
          <cell r="C99">
            <v>-714</v>
          </cell>
          <cell r="D99">
            <v>670</v>
          </cell>
          <cell r="E99">
            <v>441</v>
          </cell>
          <cell r="F99">
            <v>217</v>
          </cell>
          <cell r="G99">
            <v>3882</v>
          </cell>
          <cell r="H99">
            <v>1541</v>
          </cell>
          <cell r="I99">
            <v>-1315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57">
          <cell r="B57">
            <v>6773</v>
          </cell>
          <cell r="C57">
            <v>7786</v>
          </cell>
          <cell r="D57">
            <v>5710</v>
          </cell>
          <cell r="E57">
            <v>6384</v>
          </cell>
          <cell r="F57">
            <v>7163</v>
          </cell>
          <cell r="G57">
            <v>8299</v>
          </cell>
          <cell r="H57">
            <v>9965</v>
          </cell>
          <cell r="I57">
            <v>11484</v>
          </cell>
        </row>
        <row r="58">
          <cell r="B58">
            <v>1246</v>
          </cell>
          <cell r="C58">
            <v>318</v>
          </cell>
          <cell r="D58">
            <v>-213</v>
          </cell>
          <cell r="E58">
            <v>-92</v>
          </cell>
          <cell r="F58">
            <v>231</v>
          </cell>
          <cell r="G58">
            <v>-56</v>
          </cell>
          <cell r="H58">
            <v>-380</v>
          </cell>
          <cell r="I58">
            <v>318</v>
          </cell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94">
          <cell r="B94">
            <v>-2534</v>
          </cell>
          <cell r="C94">
            <v>281</v>
          </cell>
          <cell r="D94">
            <v>-3223</v>
          </cell>
          <cell r="E94">
            <v>-4254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  <cell r="H106">
            <v>1177</v>
          </cell>
          <cell r="I106">
            <v>1231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  <cell r="H107">
            <v>179</v>
          </cell>
          <cell r="I107">
            <v>160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>
        <row r="3">
          <cell r="J3">
            <v>48274.238941302261</v>
          </cell>
          <cell r="K3">
            <v>51663.013343476596</v>
          </cell>
          <cell r="L3">
            <v>55357.020675910935</v>
          </cell>
          <cell r="M3">
            <v>59394.008083974339</v>
          </cell>
          <cell r="N3">
            <v>63814.809831132094</v>
          </cell>
        </row>
        <row r="5">
          <cell r="J5">
            <v>8086.4839699854401</v>
          </cell>
          <cell r="K5">
            <v>8671.8983670502039</v>
          </cell>
          <cell r="L5">
            <v>9339.0622108830576</v>
          </cell>
          <cell r="M5">
            <v>10099.160532284699</v>
          </cell>
          <cell r="N5">
            <v>10964.932476343067</v>
          </cell>
        </row>
        <row r="8">
          <cell r="J8">
            <v>739.47925830914744</v>
          </cell>
          <cell r="K8">
            <v>763.69763090280424</v>
          </cell>
          <cell r="L8">
            <v>789.7794810901014</v>
          </cell>
          <cell r="M8">
            <v>817.85908906372879</v>
          </cell>
          <cell r="N8">
            <v>848.08147429619055</v>
          </cell>
        </row>
        <row r="11">
          <cell r="K11">
            <v>7908.2007361473998</v>
          </cell>
          <cell r="L11">
            <v>8549.2827297929562</v>
          </cell>
          <cell r="M11">
            <v>9281.3014432209711</v>
          </cell>
          <cell r="N11">
            <v>10116.851002046877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forecasting.com/forecast/t10y" TargetMode="External"/><Relationship Id="rId2" Type="http://schemas.openxmlformats.org/officeDocument/2006/relationships/hyperlink" Target="https://home.treasury.gov/resource-center/data-chart-center/interest-rates/TextView?type=daily_treasury_yield_curve&amp;field_tdr_date_value=2015" TargetMode="External"/><Relationship Id="rId1" Type="http://schemas.openxmlformats.org/officeDocument/2006/relationships/hyperlink" Target="https://www.slickcharts.com/sp500/return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AC2E-C023-460E-A450-56CE38B7C579}">
  <dimension ref="A1:AA80"/>
  <sheetViews>
    <sheetView zoomScale="90" zoomScaleNormal="90" workbookViewId="0">
      <selection activeCell="P16" sqref="P16"/>
    </sheetView>
  </sheetViews>
  <sheetFormatPr defaultRowHeight="14.4" x14ac:dyDescent="0.3"/>
  <cols>
    <col min="1" max="1" width="48.77734375" customWidth="1"/>
    <col min="2" max="14" width="11.77734375" customWidth="1"/>
    <col min="15" max="15" width="17.21875" customWidth="1"/>
    <col min="16" max="16" width="14.6640625" bestFit="1" customWidth="1"/>
    <col min="17" max="17" width="53.6640625" customWidth="1"/>
    <col min="18" max="18" width="15.44140625" bestFit="1" customWidth="1"/>
    <col min="22" max="27" width="11.109375" bestFit="1" customWidth="1"/>
  </cols>
  <sheetData>
    <row r="1" spans="1:27" ht="60" customHeight="1" x14ac:dyDescent="0.45">
      <c r="A1" s="73" t="s">
        <v>81</v>
      </c>
      <c r="B1" s="61">
        <f>+C1-1</f>
        <v>2015</v>
      </c>
      <c r="C1" s="61">
        <f>+D1-1</f>
        <v>2016</v>
      </c>
      <c r="D1" s="61">
        <f>+E1-1</f>
        <v>2017</v>
      </c>
      <c r="E1" s="61">
        <f>+F1-1</f>
        <v>2018</v>
      </c>
      <c r="F1" s="61">
        <f>+G1-1</f>
        <v>2019</v>
      </c>
      <c r="G1" s="61">
        <f>+H1-1</f>
        <v>2020</v>
      </c>
      <c r="H1" s="61">
        <f>+I1-1</f>
        <v>2021</v>
      </c>
      <c r="I1" s="61">
        <v>2022</v>
      </c>
      <c r="J1" s="152">
        <f>+I1+1</f>
        <v>2023</v>
      </c>
      <c r="K1" s="151">
        <f>+J1+1</f>
        <v>2024</v>
      </c>
      <c r="L1" s="151">
        <f>+K1+1</f>
        <v>2025</v>
      </c>
      <c r="M1" s="151">
        <f>+L1+1</f>
        <v>2026</v>
      </c>
      <c r="N1" s="151">
        <f>+M1+1</f>
        <v>2027</v>
      </c>
      <c r="O1" s="150" t="s">
        <v>161</v>
      </c>
      <c r="P1" s="149" t="s">
        <v>160</v>
      </c>
      <c r="Q1" s="148" t="s">
        <v>159</v>
      </c>
    </row>
    <row r="2" spans="1:27" x14ac:dyDescent="0.3">
      <c r="A2" s="101" t="s">
        <v>158</v>
      </c>
      <c r="B2" s="101"/>
      <c r="C2" s="101"/>
      <c r="D2" s="101"/>
      <c r="E2" s="101"/>
      <c r="F2" s="101"/>
      <c r="G2" s="101"/>
      <c r="H2" s="101"/>
      <c r="I2" s="101"/>
      <c r="J2" s="100"/>
      <c r="K2" s="99"/>
      <c r="L2" s="99"/>
      <c r="M2" s="99"/>
      <c r="N2" s="99"/>
      <c r="O2" s="147" t="s">
        <v>157</v>
      </c>
      <c r="P2" s="146"/>
      <c r="Q2" s="9" t="s">
        <v>156</v>
      </c>
      <c r="V2" s="19"/>
      <c r="W2" s="19"/>
      <c r="X2" s="19"/>
      <c r="Y2" s="19"/>
      <c r="Z2" s="19"/>
      <c r="AA2" s="19"/>
    </row>
    <row r="3" spans="1:27" x14ac:dyDescent="0.3">
      <c r="A3" s="69" t="s">
        <v>1</v>
      </c>
      <c r="B3" s="70">
        <f>+'[2]Segmental forecast'!B3</f>
        <v>30601</v>
      </c>
      <c r="C3" s="70">
        <f>+'[2]Segmental forecast'!C3</f>
        <v>32376</v>
      </c>
      <c r="D3" s="70">
        <f>+'[2]Segmental forecast'!D3</f>
        <v>34350</v>
      </c>
      <c r="E3" s="70">
        <f>+'[2]Segmental forecast'!E3</f>
        <v>36397</v>
      </c>
      <c r="F3" s="70">
        <f>+'[2]Segmental forecast'!F3</f>
        <v>39117</v>
      </c>
      <c r="G3" s="70">
        <f>+'[2]Segmental forecast'!G3</f>
        <v>37403</v>
      </c>
      <c r="H3" s="70">
        <f>+'[2]Segmental forecast'!H3</f>
        <v>44538</v>
      </c>
      <c r="I3" s="70">
        <f>+'[2]Segmental forecast'!I3</f>
        <v>46710</v>
      </c>
      <c r="J3" s="96">
        <f>+'[4]Segmental forecast'!J3</f>
        <v>48274.238941302261</v>
      </c>
      <c r="K3" s="136">
        <f>+'[4]Segmental forecast'!K3</f>
        <v>51663.013343476596</v>
      </c>
      <c r="L3" s="136">
        <f>+'[4]Segmental forecast'!L3</f>
        <v>55357.020675910935</v>
      </c>
      <c r="M3" s="136">
        <f>+'[4]Segmental forecast'!M3</f>
        <v>59394.008083974339</v>
      </c>
      <c r="N3" s="136">
        <f>+'[4]Segmental forecast'!N3</f>
        <v>63814.809831132094</v>
      </c>
      <c r="O3" s="123">
        <f>AVERAGE(C4:I4)</f>
        <v>6.4144253268830678E-2</v>
      </c>
      <c r="P3" s="63">
        <f>AVERAGE(C4:F4,I4)</f>
        <v>6.0413387914963847E-2</v>
      </c>
      <c r="Q3" s="9"/>
      <c r="V3" s="19"/>
      <c r="W3" s="19"/>
      <c r="X3" s="19"/>
      <c r="Y3" s="19"/>
      <c r="Z3" s="19"/>
      <c r="AA3" s="19"/>
    </row>
    <row r="4" spans="1:27" x14ac:dyDescent="0.3">
      <c r="A4" s="135" t="s">
        <v>51</v>
      </c>
      <c r="B4" s="145" t="str">
        <f>+IFERROR(B3/A3-1,"nm")</f>
        <v>nm</v>
      </c>
      <c r="C4" s="143">
        <f>+IFERROR(C3/B3-1,"nm")</f>
        <v>5.8004640371229765E-2</v>
      </c>
      <c r="D4" s="143">
        <f>+IFERROR(D3/C3-1,"nm")</f>
        <v>6.0971089696071123E-2</v>
      </c>
      <c r="E4" s="143">
        <f>+IFERROR(E3/D3-1,"nm")</f>
        <v>5.95924308588065E-2</v>
      </c>
      <c r="F4" s="143">
        <f>+IFERROR(F3/E3-1,"nm")</f>
        <v>7.4731433909388079E-2</v>
      </c>
      <c r="G4" s="143">
        <f>+IFERROR(G3/F3-1,"nm")</f>
        <v>-4.3817266150267153E-2</v>
      </c>
      <c r="H4" s="143">
        <f>+IFERROR(H3/G3-1,"nm")</f>
        <v>0.19076009945726269</v>
      </c>
      <c r="I4" s="143">
        <f>+IFERROR(I3/H3-1,"nm")</f>
        <v>4.8767344739323759E-2</v>
      </c>
      <c r="J4" s="144">
        <f>+IFERROR(J3/I3-1,"nm")</f>
        <v>3.3488309597565102E-2</v>
      </c>
      <c r="K4" s="143">
        <f>+IFERROR(K3/J3-1,"nm")</f>
        <v>7.0198401393646526E-2</v>
      </c>
      <c r="L4" s="143">
        <f>+IFERROR(L3/K3-1,"nm")</f>
        <v>7.1501971978968459E-2</v>
      </c>
      <c r="M4" s="143">
        <f>+IFERROR(M3/L3-1,"nm")</f>
        <v>7.2926385104755687E-2</v>
      </c>
      <c r="N4" s="143">
        <f>+IFERROR(N3/M3-1,"nm")</f>
        <v>7.4431780069588838E-2</v>
      </c>
      <c r="O4" s="122" t="s">
        <v>155</v>
      </c>
      <c r="P4" s="121" t="s">
        <v>154</v>
      </c>
      <c r="Q4" s="9" t="s">
        <v>153</v>
      </c>
      <c r="V4" s="19"/>
      <c r="W4" s="19"/>
      <c r="X4" s="19"/>
      <c r="Y4" s="19"/>
      <c r="Z4" s="19"/>
      <c r="AA4" s="19"/>
    </row>
    <row r="5" spans="1:27" x14ac:dyDescent="0.3">
      <c r="A5" s="69" t="s">
        <v>5</v>
      </c>
      <c r="B5" s="70">
        <f>+'[2]Segmental forecast'!B5</f>
        <v>4839</v>
      </c>
      <c r="C5" s="70">
        <f>+'[2]Segmental forecast'!C5</f>
        <v>5291</v>
      </c>
      <c r="D5" s="70">
        <f>+'[2]Segmental forecast'!D5</f>
        <v>5651</v>
      </c>
      <c r="E5" s="70">
        <f>+'[2]Segmental forecast'!E5</f>
        <v>5126</v>
      </c>
      <c r="F5" s="70">
        <f>+'[2]Segmental forecast'!F5</f>
        <v>5555</v>
      </c>
      <c r="G5" s="70">
        <f>+'[2]Segmental forecast'!G5</f>
        <v>3697</v>
      </c>
      <c r="H5" s="70">
        <f>+'[2]Segmental forecast'!H5</f>
        <v>7667</v>
      </c>
      <c r="I5" s="70">
        <f>+'[2]Segmental forecast'!I5</f>
        <v>7573</v>
      </c>
      <c r="J5" s="96">
        <f>+'[4]Segmental forecast'!J5</f>
        <v>8086.4839699854401</v>
      </c>
      <c r="K5" s="136">
        <f>+'[4]Segmental forecast'!K5</f>
        <v>8671.8983670502039</v>
      </c>
      <c r="L5" s="136">
        <f>+'[4]Segmental forecast'!L5</f>
        <v>9339.0622108830576</v>
      </c>
      <c r="M5" s="136">
        <f>+'[4]Segmental forecast'!M5</f>
        <v>10099.160532284699</v>
      </c>
      <c r="N5" s="136">
        <f>+'[4]Segmental forecast'!N5</f>
        <v>10964.932476343067</v>
      </c>
      <c r="O5" s="64">
        <f>_xlfn.RRI(8,B5,I5)</f>
        <v>5.7581978834384762E-2</v>
      </c>
      <c r="P5" s="75">
        <f>I5/$I$3</f>
        <v>0.16212802397773496</v>
      </c>
      <c r="Q5" s="9" t="s">
        <v>152</v>
      </c>
    </row>
    <row r="6" spans="1:27" x14ac:dyDescent="0.3">
      <c r="A6" s="142" t="s">
        <v>108</v>
      </c>
      <c r="B6" s="95">
        <f>+'[2]Segmental forecast'!B8</f>
        <v>606</v>
      </c>
      <c r="C6" s="95">
        <f>+'[2]Segmental forecast'!C8</f>
        <v>649</v>
      </c>
      <c r="D6" s="95">
        <f>+'[2]Segmental forecast'!D8</f>
        <v>706</v>
      </c>
      <c r="E6" s="95">
        <f>+'[2]Segmental forecast'!E8</f>
        <v>747</v>
      </c>
      <c r="F6" s="95">
        <f>+'[2]Segmental forecast'!F8</f>
        <v>705</v>
      </c>
      <c r="G6" s="95">
        <f>+'[2]Segmental forecast'!G8</f>
        <v>721</v>
      </c>
      <c r="H6" s="95">
        <f>+'[2]Segmental forecast'!H8</f>
        <v>744</v>
      </c>
      <c r="I6" s="95">
        <f>+'[2]Segmental forecast'!I8</f>
        <v>717</v>
      </c>
      <c r="J6" s="141">
        <f>+'[4]Segmental forecast'!J8</f>
        <v>739.47925830914744</v>
      </c>
      <c r="K6" s="140">
        <f>+'[4]Segmental forecast'!K8</f>
        <v>763.69763090280424</v>
      </c>
      <c r="L6" s="140">
        <f>+'[4]Segmental forecast'!L8</f>
        <v>789.7794810901014</v>
      </c>
      <c r="M6" s="140">
        <f>+'[4]Segmental forecast'!M8</f>
        <v>817.85908906372879</v>
      </c>
      <c r="N6" s="139">
        <f>+'[4]Segmental forecast'!N8</f>
        <v>848.08147429619055</v>
      </c>
      <c r="O6" s="64">
        <f>_xlfn.RRI(8,B6,I6)</f>
        <v>2.1247053314228381E-2</v>
      </c>
      <c r="P6" s="75">
        <f>I6/$I$3</f>
        <v>1.5350032113037893E-2</v>
      </c>
      <c r="Q6" s="9" t="s">
        <v>151</v>
      </c>
    </row>
    <row r="7" spans="1:27" x14ac:dyDescent="0.3">
      <c r="A7" s="68" t="s">
        <v>109</v>
      </c>
      <c r="B7" s="67">
        <f>+'[2]Segmental forecast'!B11</f>
        <v>4233</v>
      </c>
      <c r="C7" s="67">
        <f>+'[2]Segmental forecast'!C11</f>
        <v>4642</v>
      </c>
      <c r="D7" s="67">
        <f>+'[2]Segmental forecast'!D11</f>
        <v>4945</v>
      </c>
      <c r="E7" s="67">
        <f>+'[2]Segmental forecast'!E11</f>
        <v>4379</v>
      </c>
      <c r="F7" s="67">
        <f>+'[2]Segmental forecast'!F11</f>
        <v>4850</v>
      </c>
      <c r="G7" s="67">
        <f>+'[2]Segmental forecast'!G11</f>
        <v>2976</v>
      </c>
      <c r="H7" s="67">
        <f>+'[2]Segmental forecast'!H11</f>
        <v>6923</v>
      </c>
      <c r="I7" s="67">
        <f>+'[2]Segmental forecast'!I11</f>
        <v>6856</v>
      </c>
      <c r="J7" s="96">
        <f>J5-J6</f>
        <v>7347.0047116762926</v>
      </c>
      <c r="K7" s="136">
        <f>+'[4]Segmental forecast'!K11</f>
        <v>7908.2007361473998</v>
      </c>
      <c r="L7" s="136">
        <f>+'[4]Segmental forecast'!L11</f>
        <v>8549.2827297929562</v>
      </c>
      <c r="M7" s="136">
        <f>+'[4]Segmental forecast'!M11</f>
        <v>9281.3014432209711</v>
      </c>
      <c r="N7" s="136">
        <f>+'[4]Segmental forecast'!N11</f>
        <v>10116.851002046877</v>
      </c>
      <c r="O7" s="64">
        <f>_xlfn.RRI(8,B7,I7)</f>
        <v>6.2130346886679622E-2</v>
      </c>
      <c r="P7" s="75">
        <f>I7/$I$3</f>
        <v>0.14677799186469706</v>
      </c>
    </row>
    <row r="8" spans="1:27" x14ac:dyDescent="0.3">
      <c r="A8" s="135" t="s">
        <v>51</v>
      </c>
      <c r="B8" s="134" t="str">
        <f>+IFERROR(B7/A7-1,"nm")</f>
        <v>nm</v>
      </c>
      <c r="C8" s="134">
        <f>+IFERROR(C7/B7-1,"nm")</f>
        <v>9.6621781242617555E-2</v>
      </c>
      <c r="D8" s="134">
        <f>+IFERROR(D7/C7-1,"nm")</f>
        <v>6.5273588970271357E-2</v>
      </c>
      <c r="E8" s="134">
        <f>+IFERROR(E7/D7-1,"nm")</f>
        <v>-0.11445904954499497</v>
      </c>
      <c r="F8" s="134">
        <f>+IFERROR(F7/E7-1,"nm")</f>
        <v>0.10755880337976698</v>
      </c>
      <c r="G8" s="134">
        <f>+IFERROR(G7/F7-1,"nm")</f>
        <v>-0.38639175257731961</v>
      </c>
      <c r="H8" s="134">
        <f>+IFERROR(H7/G7-1,"nm")</f>
        <v>1.32627688172043</v>
      </c>
      <c r="I8" s="134">
        <f>+IFERROR(I7/H7-1,"nm")</f>
        <v>-9.67788530983682E-3</v>
      </c>
      <c r="J8" s="91">
        <f>+IFERROR(J7/I7-1,"nm")</f>
        <v>7.1616789917778867E-2</v>
      </c>
      <c r="K8" s="134">
        <f>+IFERROR(K7/J7-1,"nm")</f>
        <v>7.6384328919678168E-2</v>
      </c>
      <c r="L8" s="134">
        <f>+IFERROR(L7/K7-1,"nm")</f>
        <v>8.1065467991378926E-2</v>
      </c>
      <c r="M8" s="134">
        <f>+IFERROR(M7/L7-1,"nm")</f>
        <v>8.5623406847575634E-2</v>
      </c>
      <c r="N8" s="134">
        <f>+IFERROR(N7/M7-1,"nm")</f>
        <v>9.0025042709520831E-2</v>
      </c>
      <c r="O8" s="64"/>
      <c r="P8" s="75"/>
    </row>
    <row r="9" spans="1:27" x14ac:dyDescent="0.3">
      <c r="A9" s="135" t="s">
        <v>150</v>
      </c>
      <c r="B9" s="134">
        <f>B7/B3</f>
        <v>0.13832881278389594</v>
      </c>
      <c r="C9" s="134">
        <f>C7/C3</f>
        <v>0.14337781072399308</v>
      </c>
      <c r="D9" s="134">
        <f>D7/D3</f>
        <v>0.14395924308588065</v>
      </c>
      <c r="E9" s="134">
        <f>E7/E3</f>
        <v>0.12031211363573921</v>
      </c>
      <c r="F9" s="134">
        <f>F7/F3</f>
        <v>0.12398701331901731</v>
      </c>
      <c r="G9" s="134">
        <f>G7/G3</f>
        <v>7.9565810229126011E-2</v>
      </c>
      <c r="H9" s="134">
        <f>H7/H3</f>
        <v>0.1554402981723472</v>
      </c>
      <c r="I9" s="134">
        <f>I7/I3</f>
        <v>0.14677799186469706</v>
      </c>
      <c r="J9" s="91">
        <f>J7/J3</f>
        <v>0.15219307176669697</v>
      </c>
      <c r="K9" s="134">
        <f>K7/K3</f>
        <v>0.15307277342826453</v>
      </c>
      <c r="L9" s="134">
        <f>L7/L3</f>
        <v>0.15443899663323549</v>
      </c>
      <c r="M9" s="134">
        <f>M7/M3</f>
        <v>0.15626662928857377</v>
      </c>
      <c r="N9" s="134">
        <f>N7/N3</f>
        <v>0.15853453185582267</v>
      </c>
      <c r="O9" s="138"/>
      <c r="P9" s="75"/>
    </row>
    <row r="10" spans="1:27" x14ac:dyDescent="0.3">
      <c r="A10" s="6" t="s">
        <v>80</v>
      </c>
      <c r="B10" s="19">
        <f>+[2]Historicals!B8</f>
        <v>28</v>
      </c>
      <c r="C10" s="19">
        <f>+[2]Historicals!C8</f>
        <v>19</v>
      </c>
      <c r="D10" s="19">
        <f>+[2]Historicals!D8</f>
        <v>59</v>
      </c>
      <c r="E10" s="19">
        <f>+[2]Historicals!E8</f>
        <v>54</v>
      </c>
      <c r="F10" s="19">
        <f>+[2]Historicals!F8</f>
        <v>49</v>
      </c>
      <c r="G10" s="19">
        <f>+[2]Historicals!G8</f>
        <v>89</v>
      </c>
      <c r="H10" s="19">
        <f>+[2]Historicals!H8</f>
        <v>262</v>
      </c>
      <c r="I10" s="19">
        <f>+[2]Historicals!I8</f>
        <v>205</v>
      </c>
      <c r="J10" s="86">
        <f>J3*$P$10</f>
        <v>211.86510346750083</v>
      </c>
      <c r="K10" s="95">
        <f>K3*$P$10</f>
        <v>226.73769504201888</v>
      </c>
      <c r="L10" s="95">
        <f>L3*$P$10</f>
        <v>242.94988735948922</v>
      </c>
      <c r="M10" s="95">
        <f>M3*$P$10</f>
        <v>260.66734440622434</v>
      </c>
      <c r="N10" s="95">
        <f>N3*$P$10</f>
        <v>280.0692788563922</v>
      </c>
      <c r="O10" s="64">
        <f>_xlfn.RRI(8,B10,I10)</f>
        <v>0.28255051297237288</v>
      </c>
      <c r="P10" s="75">
        <f>I10/$I3</f>
        <v>4.3887818454292444E-3</v>
      </c>
    </row>
    <row r="11" spans="1:27" x14ac:dyDescent="0.3">
      <c r="A11" s="135" t="s">
        <v>51</v>
      </c>
      <c r="B11" s="90" t="str">
        <f>+IFERROR(B10/A10-1,"nm")</f>
        <v>nm</v>
      </c>
      <c r="C11" s="90">
        <f>+IFERROR(C10/B10-1,"nm")</f>
        <v>-0.3214285714285714</v>
      </c>
      <c r="D11" s="90">
        <f>+IFERROR(D10/C10-1,"nm")</f>
        <v>2.1052631578947367</v>
      </c>
      <c r="E11" s="90">
        <f>+IFERROR(E10/D10-1,"nm")</f>
        <v>-8.4745762711864403E-2</v>
      </c>
      <c r="F11" s="90">
        <f>+IFERROR(F10/E10-1,"nm")</f>
        <v>-9.259259259259256E-2</v>
      </c>
      <c r="G11" s="90">
        <f>+IFERROR(G10/F10-1,"nm")</f>
        <v>0.81632653061224492</v>
      </c>
      <c r="H11" s="90">
        <f>+IFERROR(H10/G10-1,"nm")</f>
        <v>1.9438202247191012</v>
      </c>
      <c r="I11" s="90">
        <f>+IFERROR(I10/H10-1,"nm")</f>
        <v>-0.21755725190839692</v>
      </c>
      <c r="J11" s="133">
        <f>+IFERROR(J10/I10-1,"nm")</f>
        <v>3.3488309597565102E-2</v>
      </c>
      <c r="K11" s="132">
        <f>+IFERROR(K10/J10-1,"nm")</f>
        <v>7.0198401393646526E-2</v>
      </c>
      <c r="L11" s="132">
        <f>+IFERROR(L10/K10-1,"nm")</f>
        <v>7.1501971978968459E-2</v>
      </c>
      <c r="M11" s="132">
        <f>+IFERROR(M10/L10-1,"nm")</f>
        <v>7.2926385104755687E-2</v>
      </c>
      <c r="N11" s="131">
        <f>+IFERROR(N10/M10-1,"nm")</f>
        <v>7.4431780069588838E-2</v>
      </c>
      <c r="O11" s="64"/>
      <c r="P11" s="75"/>
      <c r="Q11" s="46"/>
    </row>
    <row r="12" spans="1:27" x14ac:dyDescent="0.3">
      <c r="A12" s="68" t="s">
        <v>149</v>
      </c>
      <c r="B12" s="67">
        <f>+[2]Historicals!B10</f>
        <v>4205</v>
      </c>
      <c r="C12" s="67">
        <f>+[2]Historicals!C10</f>
        <v>4623</v>
      </c>
      <c r="D12" s="67">
        <f>+[2]Historicals!D10</f>
        <v>4886</v>
      </c>
      <c r="E12" s="67">
        <f>+[2]Historicals!E10</f>
        <v>4325</v>
      </c>
      <c r="F12" s="67">
        <f>+[2]Historicals!F10</f>
        <v>4801</v>
      </c>
      <c r="G12" s="67">
        <f>+[2]Historicals!G10</f>
        <v>2887</v>
      </c>
      <c r="H12" s="67">
        <f>+[2]Historicals!H10</f>
        <v>6661</v>
      </c>
      <c r="I12" s="67">
        <f>+[2]Historicals!I10</f>
        <v>6651</v>
      </c>
      <c r="J12" s="137">
        <f>J7-J10</f>
        <v>7135.1396082087922</v>
      </c>
      <c r="K12" s="136">
        <f>K7-K10</f>
        <v>7681.4630411053813</v>
      </c>
      <c r="L12" s="136">
        <f>L7-L10</f>
        <v>8306.3328424334668</v>
      </c>
      <c r="M12" s="136">
        <f>M7-M10</f>
        <v>9020.6340988147476</v>
      </c>
      <c r="N12" s="136">
        <f>N7-N10</f>
        <v>9836.7817231904846</v>
      </c>
      <c r="O12" s="64">
        <f>_xlfn.RRI(8,B12,I12)</f>
        <v>5.8985755609010981E-2</v>
      </c>
      <c r="P12" s="75">
        <f>I12/$I3</f>
        <v>0.14238921001926783</v>
      </c>
      <c r="Q12" s="46"/>
    </row>
    <row r="13" spans="1:27" x14ac:dyDescent="0.3">
      <c r="A13" s="135" t="s">
        <v>51</v>
      </c>
      <c r="B13" s="134" t="str">
        <f>+IFERROR(B12/A12-1,"nm")</f>
        <v>nm</v>
      </c>
      <c r="C13" s="134">
        <f>+IFERROR(C12/B12-1,"nm")</f>
        <v>9.9405469678953695E-2</v>
      </c>
      <c r="D13" s="134">
        <f>+IFERROR(D12/C12-1,"nm")</f>
        <v>5.688946571490372E-2</v>
      </c>
      <c r="E13" s="134">
        <f>+IFERROR(E12/D12-1,"nm")</f>
        <v>-0.11481784690953745</v>
      </c>
      <c r="F13" s="134">
        <f>+IFERROR(F12/E12-1,"nm")</f>
        <v>0.11005780346820804</v>
      </c>
      <c r="G13" s="134">
        <f>+IFERROR(G12/F12-1,"nm")</f>
        <v>-0.39866694438658612</v>
      </c>
      <c r="H13" s="134">
        <f>+IFERROR(H12/G12-1,"nm")</f>
        <v>1.307239348804988</v>
      </c>
      <c r="I13" s="134">
        <f>+IFERROR(I12/H12-1,"nm")</f>
        <v>-1.5012760846719875E-3</v>
      </c>
      <c r="J13" s="91">
        <f>+IFERROR(J12/I12-1,"nm")</f>
        <v>7.2792002437045866E-2</v>
      </c>
      <c r="K13" s="134">
        <f>+IFERROR(K12/J12-1,"nm")</f>
        <v>7.6568008882132998E-2</v>
      </c>
      <c r="L13" s="134">
        <f>+IFERROR(L12/K12-1,"nm")</f>
        <v>8.1347758621535426E-2</v>
      </c>
      <c r="M13" s="134">
        <f>+IFERROR(M12/L12-1,"nm")</f>
        <v>8.5994778915218006E-2</v>
      </c>
      <c r="N13" s="134">
        <f>+IFERROR(N12/M12-1,"nm")</f>
        <v>9.0475637902547534E-2</v>
      </c>
      <c r="O13" s="64"/>
      <c r="P13" s="75"/>
    </row>
    <row r="14" spans="1:27" x14ac:dyDescent="0.3">
      <c r="A14" t="s">
        <v>79</v>
      </c>
      <c r="B14" s="19">
        <f>+[2]Historicals!B11</f>
        <v>932</v>
      </c>
      <c r="C14" s="19">
        <f>+[2]Historicals!C11</f>
        <v>863</v>
      </c>
      <c r="D14" s="19">
        <f>+[2]Historicals!D11</f>
        <v>646</v>
      </c>
      <c r="E14" s="19">
        <f>+[2]Historicals!E11</f>
        <v>2392</v>
      </c>
      <c r="F14" s="19">
        <f>+[2]Historicals!F11</f>
        <v>772</v>
      </c>
      <c r="G14" s="19">
        <f>+[2]Historicals!G11</f>
        <v>348</v>
      </c>
      <c r="H14" s="19">
        <f>+[2]Historicals!H11</f>
        <v>934</v>
      </c>
      <c r="I14" s="19">
        <f>+[2]Historicals!I11</f>
        <v>605</v>
      </c>
      <c r="J14" s="86">
        <f>J3*$P$14</f>
        <v>625.26042730652682</v>
      </c>
      <c r="K14" s="95">
        <f>K3*$P$14</f>
        <v>669.15270975815338</v>
      </c>
      <c r="L14" s="95">
        <f>L3*$P$14</f>
        <v>716.99844806093165</v>
      </c>
      <c r="M14" s="95">
        <f>M3*$P$14</f>
        <v>769.28655300373532</v>
      </c>
      <c r="N14" s="95">
        <f>N3*$P$14</f>
        <v>826.54592052740134</v>
      </c>
      <c r="O14" s="64">
        <f>_xlfn.RRI(8,B14,I14)</f>
        <v>-5.2580252273248584E-2</v>
      </c>
      <c r="P14" s="75">
        <f>I14/$I$3</f>
        <v>1.2952258616998502E-2</v>
      </c>
    </row>
    <row r="15" spans="1:27" x14ac:dyDescent="0.3">
      <c r="A15" s="92" t="s">
        <v>148</v>
      </c>
      <c r="B15" s="90">
        <f>B14/B12</f>
        <v>0.22164090368608799</v>
      </c>
      <c r="C15" s="90">
        <f>C14/C12</f>
        <v>0.18667531905688947</v>
      </c>
      <c r="D15" s="90">
        <f>D14/D12</f>
        <v>0.13221449038067951</v>
      </c>
      <c r="E15" s="90">
        <f>E14/E12</f>
        <v>0.55306358381502885</v>
      </c>
      <c r="F15" s="90">
        <f>F14/F12</f>
        <v>0.16079983336804832</v>
      </c>
      <c r="G15" s="90">
        <f>G14/G12</f>
        <v>0.12054035330793211</v>
      </c>
      <c r="H15" s="90">
        <f>H14/H12</f>
        <v>0.14021918630836211</v>
      </c>
      <c r="I15" s="90">
        <f>I14/I12</f>
        <v>9.0963764847391368E-2</v>
      </c>
      <c r="J15" s="133">
        <f>J14/J12</f>
        <v>8.7631141314625571E-2</v>
      </c>
      <c r="K15" s="132">
        <f>K14/K12</f>
        <v>8.7112664108042193E-2</v>
      </c>
      <c r="L15" s="132">
        <f>L14/L12</f>
        <v>8.6319494012820713E-2</v>
      </c>
      <c r="M15" s="132">
        <f>M14/M12</f>
        <v>8.5280762369556104E-2</v>
      </c>
      <c r="N15" s="131">
        <f>N14/N12</f>
        <v>8.4026050774187303E-2</v>
      </c>
      <c r="O15" s="64"/>
      <c r="P15" s="75"/>
    </row>
    <row r="16" spans="1:27" ht="15" thickBot="1" x14ac:dyDescent="0.35">
      <c r="A16" s="66" t="s">
        <v>147</v>
      </c>
      <c r="B16" s="65">
        <f>+[2]Historicals!B12</f>
        <v>3273</v>
      </c>
      <c r="C16" s="65">
        <f>+[2]Historicals!C12</f>
        <v>3760</v>
      </c>
      <c r="D16" s="65">
        <f>+[2]Historicals!D12</f>
        <v>4240</v>
      </c>
      <c r="E16" s="65">
        <f>+[2]Historicals!E12</f>
        <v>1933</v>
      </c>
      <c r="F16" s="65">
        <f>+[2]Historicals!F12</f>
        <v>4029</v>
      </c>
      <c r="G16" s="65">
        <f>+[2]Historicals!G12</f>
        <v>2539</v>
      </c>
      <c r="H16" s="65">
        <f>+[2]Historicals!H12</f>
        <v>5727</v>
      </c>
      <c r="I16" s="65">
        <f>+[2]Historicals!I12</f>
        <v>6046</v>
      </c>
      <c r="J16" s="81">
        <f>J12-J14</f>
        <v>6509.879180902265</v>
      </c>
      <c r="K16" s="65">
        <f>K12-K14</f>
        <v>7012.3103313472275</v>
      </c>
      <c r="L16" s="65">
        <f>L12-L14</f>
        <v>7589.3343943725349</v>
      </c>
      <c r="M16" s="65">
        <f>M12-M14</f>
        <v>8251.3475458110115</v>
      </c>
      <c r="N16" s="130">
        <f>N12-N14</f>
        <v>9010.2358026630827</v>
      </c>
      <c r="O16" s="64">
        <f>_xlfn.RRI(8,B16,I16)</f>
        <v>7.9730245880310191E-2</v>
      </c>
      <c r="P16" s="75">
        <f>I16/$I$3</f>
        <v>0.12943695140226932</v>
      </c>
    </row>
    <row r="17" spans="1:22" ht="15" thickTop="1" x14ac:dyDescent="0.3">
      <c r="A17" t="s">
        <v>146</v>
      </c>
      <c r="B17" s="19">
        <f>+[2]Historicals!B18</f>
        <v>884.4</v>
      </c>
      <c r="C17" s="19">
        <f>+[2]Historicals!C18</f>
        <v>1742.5</v>
      </c>
      <c r="D17" s="19">
        <f>+[2]Historicals!D18</f>
        <v>1692</v>
      </c>
      <c r="E17" s="19">
        <f>+[2]Historicals!E18</f>
        <v>1659.1</v>
      </c>
      <c r="F17" s="19">
        <f>+[2]Historicals!F18</f>
        <v>1618.4</v>
      </c>
      <c r="G17" s="19">
        <f>+[2]Historicals!G18</f>
        <v>1591.6</v>
      </c>
      <c r="H17" s="19">
        <f>+[2]Historicals!H18</f>
        <v>1609.4</v>
      </c>
      <c r="I17" s="19">
        <f>+[2]Historicals!I18</f>
        <v>1610.8</v>
      </c>
      <c r="J17" s="86">
        <f>I17+(J67/J79)</f>
        <v>1579.0068556333886</v>
      </c>
      <c r="K17" s="85">
        <f>J17+(K67/K79)</f>
        <v>1550.3202372984231</v>
      </c>
      <c r="L17" s="85">
        <f>K17+(L67/L79)</f>
        <v>1524.4366045879638</v>
      </c>
      <c r="M17" s="85">
        <f>L17+(M67/M79)</f>
        <v>1506.9207082961718</v>
      </c>
      <c r="N17" s="85">
        <f>M17+(N67/N79)</f>
        <v>1491.1163000903209</v>
      </c>
      <c r="O17" s="129"/>
      <c r="P17" s="128"/>
      <c r="Q17" s="22"/>
    </row>
    <row r="18" spans="1:22" x14ac:dyDescent="0.3">
      <c r="A18" t="s">
        <v>60</v>
      </c>
      <c r="B18" s="12">
        <f>+[2]Historicals!B15</f>
        <v>3.7008141112618724</v>
      </c>
      <c r="C18" s="12">
        <f>+[2]Historicals!C15</f>
        <v>2.1578192252510759</v>
      </c>
      <c r="D18" s="12">
        <f>+[2]Historicals!D15</f>
        <v>2.5059101654846336</v>
      </c>
      <c r="E18" s="12">
        <f>+[2]Historicals!E15</f>
        <v>1.1650895063588693</v>
      </c>
      <c r="F18" s="12">
        <f>+[2]Historicals!F15</f>
        <v>2.4894957983193278</v>
      </c>
      <c r="G18" s="12">
        <f>+[2]Historicals!G15</f>
        <v>1.5952500628298569</v>
      </c>
      <c r="H18" s="12">
        <f>+[2]Historicals!H15</f>
        <v>3.56</v>
      </c>
      <c r="I18" s="12">
        <f>+[2]Historicals!I15</f>
        <v>3.75</v>
      </c>
      <c r="J18" s="124">
        <f>J16/J17</f>
        <v>4.1227681549811583</v>
      </c>
      <c r="K18" s="127">
        <f>K16/K17</f>
        <v>4.5231366801783022</v>
      </c>
      <c r="L18" s="127">
        <f>L16/L17</f>
        <v>4.9784519549921447</v>
      </c>
      <c r="M18" s="127">
        <f>M16/M17</f>
        <v>5.4756348495207501</v>
      </c>
      <c r="N18" s="127">
        <f>N16/N17</f>
        <v>6.0426110304858911</v>
      </c>
      <c r="O18" s="126">
        <f>(I17-B17)/I17</f>
        <v>0.4509560466848771</v>
      </c>
      <c r="P18" s="125">
        <f>(I17-H17)/I17</f>
        <v>8.6913334988816967E-4</v>
      </c>
    </row>
    <row r="19" spans="1:22" x14ac:dyDescent="0.3">
      <c r="A19" s="92" t="s">
        <v>51</v>
      </c>
      <c r="B19" s="90" t="str">
        <f>+IFERROR(B18/A18-1,"nm")</f>
        <v>nm</v>
      </c>
      <c r="C19" s="90">
        <f>+IFERROR(C18/B18-1,"nm")</f>
        <v>-0.41693390687074505</v>
      </c>
      <c r="D19" s="90">
        <f>+IFERROR(D18/C18-1,"nm")</f>
        <v>0.16131608068004644</v>
      </c>
      <c r="E19" s="90">
        <f>+IFERROR(E18/D18-1,"nm")</f>
        <v>-0.53506333850018706</v>
      </c>
      <c r="F19" s="90">
        <f>+IFERROR(F18/E18-1,"nm")</f>
        <v>1.1367420998404536</v>
      </c>
      <c r="G19" s="90">
        <f>+IFERROR(G18/F18-1,"nm")</f>
        <v>-0.35920756969872414</v>
      </c>
      <c r="H19" s="90">
        <f>+IFERROR(H18/G18-1,"nm")</f>
        <v>1.2316250492319809</v>
      </c>
      <c r="I19" s="90">
        <f>+IFERROR(I18/H18-1,"nm")</f>
        <v>5.3370786516854007E-2</v>
      </c>
      <c r="J19" s="91">
        <f>+IFERROR(J18/I18-1,"nm")</f>
        <v>9.9404841328308846E-2</v>
      </c>
      <c r="K19" s="90">
        <f>+IFERROR(K18/J18-1,"nm")</f>
        <v>9.7111578955371369E-2</v>
      </c>
      <c r="L19" s="90">
        <f>+IFERROR(L18/K18-1,"nm")</f>
        <v>0.10066361178276262</v>
      </c>
      <c r="M19" s="90">
        <f>+IFERROR(M18/L18-1,"nm")</f>
        <v>9.9866966483437736E-2</v>
      </c>
      <c r="N19" s="90">
        <f>+IFERROR(N18/M18-1,"nm")</f>
        <v>0.10354528681085529</v>
      </c>
      <c r="O19" s="123">
        <f>AVERAGE(C19:I19)</f>
        <v>0.18169274302852553</v>
      </c>
      <c r="P19" s="63">
        <f>AVERAGE(C19:F19,I19)</f>
        <v>7.9886344333284384E-2</v>
      </c>
    </row>
    <row r="20" spans="1:22" x14ac:dyDescent="0.3">
      <c r="A20" t="s">
        <v>145</v>
      </c>
      <c r="B20" s="12">
        <f>-[2]Historicals!B95/[2]Historicals!B18</f>
        <v>1.016508367254636</v>
      </c>
      <c r="C20" s="12">
        <f>-[2]Historicals!C95/[2]Historicals!C18</f>
        <v>1.8582496413199425</v>
      </c>
      <c r="D20" s="12">
        <f>-[2]Historicals!D95/[2]Historicals!D18</f>
        <v>0.66962174940898345</v>
      </c>
      <c r="E20" s="12">
        <f>-[2]Historicals!E95/[2]Historicals!E18</f>
        <v>0.74920137423904531</v>
      </c>
      <c r="F20" s="12">
        <f>-[2]Historicals!F95/[2]Historicals!F18</f>
        <v>0.82303509639149774</v>
      </c>
      <c r="G20" s="12">
        <f>-[2]Historicals!G95/[2]Historicals!G18</f>
        <v>0.91228951997989449</v>
      </c>
      <c r="H20" s="12">
        <f>-[2]Historicals!H95/[2]Historicals!H18</f>
        <v>1.0177705977382876</v>
      </c>
      <c r="I20" s="12">
        <f>-[2]Historicals!I95/[2]Historicals!I18</f>
        <v>1.1404271169605165</v>
      </c>
      <c r="J20" s="124">
        <f>I20*(1+$P$21)</f>
        <v>1.2604751868424837</v>
      </c>
      <c r="K20" s="12">
        <f>J20*(1+$P$21)</f>
        <v>1.3931602230575522</v>
      </c>
      <c r="L20" s="12">
        <f>K20*(1+$P$21)</f>
        <v>1.5398124670520104</v>
      </c>
      <c r="M20" s="12">
        <f>L20*(1+$P$21)</f>
        <v>1.701902189315414</v>
      </c>
      <c r="N20" s="12">
        <f>M20*(1+$P$21)</f>
        <v>1.8810544296617682</v>
      </c>
      <c r="O20" s="123"/>
      <c r="P20" s="63"/>
    </row>
    <row r="21" spans="1:22" x14ac:dyDescent="0.3">
      <c r="A21" s="92" t="s">
        <v>51</v>
      </c>
      <c r="B21" s="90" t="str">
        <f>+IFERROR(B20/A20-1,"nm")</f>
        <v>nm</v>
      </c>
      <c r="C21" s="90">
        <f>+IFERROR(C20/B20-1,"nm")</f>
        <v>0.8280711710604638</v>
      </c>
      <c r="D21" s="90">
        <f>+IFERROR(D20/C20-1,"nm")</f>
        <v>-0.63964919754627747</v>
      </c>
      <c r="E21" s="90">
        <f>+IFERROR(E20/D20-1,"nm")</f>
        <v>0.11884265243818604</v>
      </c>
      <c r="F21" s="90">
        <f>+IFERROR(F20/E20-1,"nm")</f>
        <v>9.8549902190775418E-2</v>
      </c>
      <c r="G21" s="90">
        <f>+IFERROR(G20/F20-1,"nm")</f>
        <v>0.10844546481641237</v>
      </c>
      <c r="H21" s="90">
        <f>+IFERROR(H20/G20-1,"nm")</f>
        <v>0.11562237146023313</v>
      </c>
      <c r="I21" s="90">
        <f>+IFERROR(I20/H20-1,"nm")</f>
        <v>0.12051489745803123</v>
      </c>
      <c r="J21" s="91">
        <f>+IFERROR(J20/I20-1,"nm")</f>
        <v>0.10526588512023571</v>
      </c>
      <c r="K21" s="90">
        <f>+IFERROR(K20/J20-1,"nm")</f>
        <v>0.10526588512023571</v>
      </c>
      <c r="L21" s="90">
        <f>+IFERROR(L20/K20-1,"nm")</f>
        <v>0.10526588512023571</v>
      </c>
      <c r="M21" s="90">
        <f>+IFERROR(M20/L20-1,"nm")</f>
        <v>0.10526588512023571</v>
      </c>
      <c r="N21" s="90">
        <f>+IFERROR(N20/M20-1,"nm")</f>
        <v>0.10526588512023571</v>
      </c>
      <c r="O21" s="123">
        <f>AVERAGE(C21:I21)</f>
        <v>0.10719960883968922</v>
      </c>
      <c r="P21" s="63">
        <f>AVERAGE(C21:F21,I21)</f>
        <v>0.1052658851202358</v>
      </c>
    </row>
    <row r="22" spans="1:22" x14ac:dyDescent="0.3">
      <c r="A22" s="92" t="s">
        <v>144</v>
      </c>
      <c r="B22" s="90">
        <f>B20/B18</f>
        <v>0.27467155514818214</v>
      </c>
      <c r="C22" s="90">
        <f>C20/C18</f>
        <v>0.8611702127659574</v>
      </c>
      <c r="D22" s="90">
        <f>D20/D18</f>
        <v>0.26721698113207548</v>
      </c>
      <c r="E22" s="90">
        <f>E20/E18</f>
        <v>0.64304190377651316</v>
      </c>
      <c r="F22" s="90">
        <f>F20/F18</f>
        <v>0.33060312732688008</v>
      </c>
      <c r="G22" s="90">
        <f>G20/G18</f>
        <v>0.57187869239858213</v>
      </c>
      <c r="H22" s="90">
        <f>H20/H18</f>
        <v>0.2858906173422156</v>
      </c>
      <c r="I22" s="90">
        <f>I20/I18</f>
        <v>0.30411389785613774</v>
      </c>
      <c r="J22" s="91">
        <f>J20/J18</f>
        <v>0.30573516129437656</v>
      </c>
      <c r="K22" s="90">
        <f>K20/K18</f>
        <v>0.30800754466757208</v>
      </c>
      <c r="L22" s="90">
        <f>L20/L18</f>
        <v>0.30929543580469082</v>
      </c>
      <c r="M22" s="90">
        <f>M20/M18</f>
        <v>0.31081367477679261</v>
      </c>
      <c r="N22" s="90">
        <f>N20/N18</f>
        <v>0.31129828151631184</v>
      </c>
      <c r="O22" s="123"/>
      <c r="P22" s="63"/>
    </row>
    <row r="23" spans="1:22" x14ac:dyDescent="0.3">
      <c r="A23" s="102" t="s">
        <v>143</v>
      </c>
      <c r="B23" s="101"/>
      <c r="C23" s="101"/>
      <c r="D23" s="101"/>
      <c r="E23" s="101"/>
      <c r="F23" s="101"/>
      <c r="G23" s="101"/>
      <c r="H23" s="101"/>
      <c r="I23" s="101"/>
      <c r="J23" s="100"/>
      <c r="K23" s="99"/>
      <c r="L23" s="99"/>
      <c r="M23" s="99"/>
      <c r="N23" s="99"/>
      <c r="O23" s="122"/>
      <c r="P23" s="121"/>
    </row>
    <row r="24" spans="1:22" x14ac:dyDescent="0.3">
      <c r="A24" s="9" t="s">
        <v>142</v>
      </c>
      <c r="J24" s="120"/>
      <c r="O24" s="105"/>
    </row>
    <row r="25" spans="1:22" x14ac:dyDescent="0.3">
      <c r="A25" t="s">
        <v>141</v>
      </c>
      <c r="B25" s="19">
        <f>+[2]Historicals!B27</f>
        <v>3852</v>
      </c>
      <c r="C25" s="19">
        <f>+[2]Historicals!C27</f>
        <v>3138</v>
      </c>
      <c r="D25" s="19">
        <f>+[2]Historicals!D27</f>
        <v>3808</v>
      </c>
      <c r="E25" s="19">
        <f>+[2]Historicals!E27</f>
        <v>4249</v>
      </c>
      <c r="F25" s="19">
        <f>+[2]Historicals!F27</f>
        <v>4466</v>
      </c>
      <c r="G25" s="19">
        <f>+[2]Historicals!G27</f>
        <v>8348</v>
      </c>
      <c r="H25" s="19">
        <f>+[2]Historicals!H27</f>
        <v>9889</v>
      </c>
      <c r="I25" s="19">
        <f>+[2]Historicals!I27</f>
        <v>8574</v>
      </c>
      <c r="J25" s="82">
        <f>J76</f>
        <v>6745.7486929944125</v>
      </c>
      <c r="K25" s="19">
        <f>K76</f>
        <v>6899.855423502212</v>
      </c>
      <c r="L25" s="19">
        <f>L76</f>
        <v>4169.7684251817936</v>
      </c>
      <c r="M25" s="19">
        <f>M76</f>
        <v>2552.8464958012778</v>
      </c>
      <c r="N25" s="19">
        <f>N76</f>
        <v>2057.4037938818178</v>
      </c>
      <c r="O25" s="64"/>
      <c r="P25" s="75"/>
      <c r="Q25" s="9" t="s">
        <v>140</v>
      </c>
    </row>
    <row r="26" spans="1:22" x14ac:dyDescent="0.3">
      <c r="A26" s="119" t="s">
        <v>78</v>
      </c>
      <c r="B26" s="19">
        <f>+[2]Historicals!B23</f>
        <v>5564</v>
      </c>
      <c r="C26" s="19">
        <f>+[2]Historicals!C23</f>
        <v>5888</v>
      </c>
      <c r="D26" s="19">
        <f>+[2]Historicals!D23</f>
        <v>6684</v>
      </c>
      <c r="E26" s="19">
        <f>+[2]Historicals!E23</f>
        <v>6480</v>
      </c>
      <c r="F26" s="19">
        <f>+[2]Historicals!F23</f>
        <v>7282</v>
      </c>
      <c r="G26" s="19">
        <f>+[2]Historicals!G23</f>
        <v>7868</v>
      </c>
      <c r="H26" s="19">
        <f>+[2]Historicals!H23</f>
        <v>8481</v>
      </c>
      <c r="I26" s="19">
        <f>+[2]Historicals!I23</f>
        <v>9729</v>
      </c>
      <c r="J26" s="82">
        <f>$P$26*J3</f>
        <v>10054.807764074711</v>
      </c>
      <c r="K26" s="19">
        <f>$P$26*K3</f>
        <v>10760.639195433179</v>
      </c>
      <c r="L26" s="19">
        <f>$P$26*L3</f>
        <v>11530.046117660833</v>
      </c>
      <c r="M26" s="19">
        <f>$P$26*M3</f>
        <v>12370.89070111296</v>
      </c>
      <c r="N26" s="19">
        <f>$P$26*N3</f>
        <v>13291.67811704312</v>
      </c>
      <c r="O26" s="64">
        <f>_xlfn.RRI(8,B26,I26)</f>
        <v>7.2346491644010191E-2</v>
      </c>
      <c r="P26" s="75">
        <f>I26/$I$3</f>
        <v>0.20828516377649325</v>
      </c>
    </row>
    <row r="27" spans="1:22" x14ac:dyDescent="0.3">
      <c r="A27" s="92" t="s">
        <v>139</v>
      </c>
      <c r="B27" s="90">
        <f>B26/B3</f>
        <v>0.18182412339466031</v>
      </c>
      <c r="C27" s="90">
        <f>C26/C3</f>
        <v>0.1818631084754139</v>
      </c>
      <c r="D27" s="90">
        <f>D26/D3</f>
        <v>0.19458515283842795</v>
      </c>
      <c r="E27" s="90">
        <f>E26/E3</f>
        <v>0.17803665137236585</v>
      </c>
      <c r="F27" s="90">
        <f>F26/F3</f>
        <v>0.18615947030702765</v>
      </c>
      <c r="G27" s="90">
        <f>G26/G3</f>
        <v>0.21035745795791783</v>
      </c>
      <c r="H27" s="90">
        <f>H26/H3</f>
        <v>0.19042166240064665</v>
      </c>
      <c r="I27" s="90">
        <f>I26/I3</f>
        <v>0.20828516377649325</v>
      </c>
      <c r="J27" s="91">
        <f>J26/J3</f>
        <v>0.20828516377649328</v>
      </c>
      <c r="K27" s="90">
        <f>K26/K3</f>
        <v>0.20828516377649325</v>
      </c>
      <c r="L27" s="90">
        <f>L26/L3</f>
        <v>0.20828516377649328</v>
      </c>
      <c r="M27" s="90">
        <f>M26/M3</f>
        <v>0.20828516377649325</v>
      </c>
      <c r="N27" s="90">
        <f>N26/N3</f>
        <v>0.20828516377649325</v>
      </c>
      <c r="O27" s="64"/>
      <c r="P27" s="75"/>
      <c r="U27" s="118"/>
      <c r="V27" s="118"/>
    </row>
    <row r="28" spans="1:22" x14ac:dyDescent="0.3">
      <c r="A28" t="s">
        <v>138</v>
      </c>
      <c r="B28" s="115">
        <f>+[2]Historicals!B29</f>
        <v>3358</v>
      </c>
      <c r="C28" s="115">
        <f>+[2]Historicals!C29</f>
        <v>3241</v>
      </c>
      <c r="D28" s="115">
        <f>+[2]Historicals!D29</f>
        <v>3677</v>
      </c>
      <c r="E28" s="115">
        <f>+[2]Historicals!E29</f>
        <v>3498</v>
      </c>
      <c r="F28" s="115">
        <f>+[2]Historicals!F29</f>
        <v>4272</v>
      </c>
      <c r="G28" s="115">
        <f>+[2]Historicals!G29</f>
        <v>2749</v>
      </c>
      <c r="H28" s="115">
        <f>+[2]Historicals!H29</f>
        <v>4463</v>
      </c>
      <c r="I28" s="115">
        <f>+[2]Historicals!I29</f>
        <v>4667</v>
      </c>
      <c r="J28" s="82">
        <f>($S$28*J3)/182.5-I28</f>
        <v>4979.579881783673</v>
      </c>
      <c r="K28" s="19">
        <f>($S$28*K3)/182.5-J28</f>
        <v>5344.1744866173249</v>
      </c>
      <c r="L28" s="19">
        <f>($S$28*L3)/182.5-K28</f>
        <v>5717.7486773508335</v>
      </c>
      <c r="M28" s="19">
        <f>($S$28*M3)/182.5-L28</f>
        <v>6150.8805552720842</v>
      </c>
      <c r="N28" s="19">
        <f>($S$28*N3)/182.5-M28</f>
        <v>6601.1518781209161</v>
      </c>
      <c r="O28" s="64">
        <f>_xlfn.RRI(8,B28,I28)</f>
        <v>4.200460586677579E-2</v>
      </c>
      <c r="P28" s="75">
        <f>I28/$I$3</f>
        <v>9.9914365232284308E-2</v>
      </c>
      <c r="Q28" s="9" t="s">
        <v>137</v>
      </c>
      <c r="R28" s="117" t="s">
        <v>136</v>
      </c>
      <c r="S28" s="116">
        <f>(I28/I3)*365</f>
        <v>36.468743309783775</v>
      </c>
    </row>
    <row r="29" spans="1:22" x14ac:dyDescent="0.3">
      <c r="A29" t="s">
        <v>77</v>
      </c>
      <c r="B29" s="115">
        <f>+[2]Historicals!B30</f>
        <v>4337</v>
      </c>
      <c r="C29" s="115">
        <f>+[2]Historicals!C30</f>
        <v>4838</v>
      </c>
      <c r="D29" s="115">
        <f>+[2]Historicals!D30</f>
        <v>5055</v>
      </c>
      <c r="E29" s="115">
        <f>+[2]Historicals!E30</f>
        <v>5261</v>
      </c>
      <c r="F29" s="115">
        <f>+[2]Historicals!F30</f>
        <v>5622</v>
      </c>
      <c r="G29" s="115">
        <f>+[2]Historicals!G30</f>
        <v>7367</v>
      </c>
      <c r="H29" s="115">
        <f>+[2]Historicals!H30</f>
        <v>6854</v>
      </c>
      <c r="I29" s="115">
        <f>+[2]Historicals!I30</f>
        <v>8420</v>
      </c>
      <c r="J29" s="82">
        <f>($S$29*J3)/182.5-I29</f>
        <v>8983.9431336229936</v>
      </c>
      <c r="K29" s="19">
        <f>($S$29*K3)/182.5-J29</f>
        <v>9641.7289859262637</v>
      </c>
      <c r="L29" s="19">
        <f>($S$29*L3)/182.5-K29</f>
        <v>10315.715419604458</v>
      </c>
      <c r="M29" s="19">
        <f>($S$29*M3)/182.5-L29</f>
        <v>11097.153262350748</v>
      </c>
      <c r="N29" s="19">
        <f>($S$29*N3)/182.5-M29</f>
        <v>11909.513351998736</v>
      </c>
      <c r="O29" s="64">
        <f>_xlfn.RRI(8,B29,I29)</f>
        <v>8.6463982807754247E-2</v>
      </c>
      <c r="P29" s="75">
        <f>I29/$I$3</f>
        <v>0.18026118604153285</v>
      </c>
      <c r="Q29" s="9" t="s">
        <v>135</v>
      </c>
      <c r="R29" s="114" t="s">
        <v>134</v>
      </c>
      <c r="S29" s="113">
        <f>(I29/I3)*365</f>
        <v>65.795332905159484</v>
      </c>
    </row>
    <row r="30" spans="1:22" x14ac:dyDescent="0.3">
      <c r="A30" t="s">
        <v>133</v>
      </c>
      <c r="B30" s="19">
        <f>+[2]Historicals!B31+[2]Historicals!B28</f>
        <v>4040</v>
      </c>
      <c r="C30" s="19">
        <f>+[2]Historicals!C31+[2]Historicals!C28</f>
        <v>3808</v>
      </c>
      <c r="D30" s="19">
        <f>+[2]Historicals!D31+[2]Historicals!D28</f>
        <v>3521</v>
      </c>
      <c r="E30" s="19">
        <f>+[2]Historicals!E31+[2]Historicals!E28</f>
        <v>2126</v>
      </c>
      <c r="F30" s="19">
        <f>+[2]Historicals!F31+[2]Historicals!F28</f>
        <v>2165</v>
      </c>
      <c r="G30" s="19">
        <f>+[2]Historicals!G31+[2]Historicals!G28</f>
        <v>2092</v>
      </c>
      <c r="H30" s="19">
        <f>+[2]Historicals!H31+[2]Historicals!H28</f>
        <v>5085</v>
      </c>
      <c r="I30" s="19">
        <f>+[2]Historicals!I31+[2]Historicals!I28</f>
        <v>6552</v>
      </c>
      <c r="J30" s="82">
        <f>$P$30*J3</f>
        <v>6771.4154044832458</v>
      </c>
      <c r="K30" s="19">
        <f>$P$30*K3</f>
        <v>7246.7579410502813</v>
      </c>
      <c r="L30" s="19">
        <f>$P$30*L3</f>
        <v>7764.9154242896257</v>
      </c>
      <c r="M30" s="19">
        <f>$P$30*M3</f>
        <v>8331.1826368272286</v>
      </c>
      <c r="N30" s="19">
        <f>$P$30*N3</f>
        <v>8951.2873905711294</v>
      </c>
      <c r="O30" s="64">
        <f>_xlfn.RRI(8,B30,I30)</f>
        <v>6.2304608286923635E-2</v>
      </c>
      <c r="P30" s="75">
        <f>I30/$I$3</f>
        <v>0.14026974951830443</v>
      </c>
      <c r="R30" s="112" t="s">
        <v>132</v>
      </c>
      <c r="S30" s="111">
        <f>(I41/I3)*365</f>
        <v>26.23999143652323</v>
      </c>
    </row>
    <row r="31" spans="1:22" x14ac:dyDescent="0.3">
      <c r="A31" s="9" t="s">
        <v>131</v>
      </c>
      <c r="B31" s="110"/>
      <c r="C31" s="110"/>
      <c r="D31" s="110"/>
      <c r="E31" s="110"/>
      <c r="F31" s="110"/>
      <c r="G31" s="110"/>
      <c r="H31" s="110"/>
      <c r="I31" s="110"/>
      <c r="J31" s="82"/>
      <c r="K31" s="110"/>
      <c r="L31" s="110"/>
      <c r="M31" s="110"/>
      <c r="N31" s="110"/>
      <c r="O31" s="64"/>
      <c r="P31" s="75"/>
      <c r="Q31" s="9"/>
      <c r="R31" s="9"/>
      <c r="S31" s="9"/>
      <c r="T31" s="9"/>
      <c r="U31" s="9"/>
      <c r="V31" s="9"/>
    </row>
    <row r="32" spans="1:22" x14ac:dyDescent="0.3">
      <c r="A32" t="s">
        <v>130</v>
      </c>
      <c r="B32" s="19">
        <f>+[2]Historicals!B33</f>
        <v>3011</v>
      </c>
      <c r="C32" s="19">
        <f>+[2]Historicals!C33</f>
        <v>3520</v>
      </c>
      <c r="D32" s="19">
        <f>+[2]Historicals!D33</f>
        <v>3989</v>
      </c>
      <c r="E32" s="19">
        <f>+[2]Historicals!E33</f>
        <v>4454</v>
      </c>
      <c r="F32" s="19">
        <f>+[2]Historicals!F33</f>
        <v>4744</v>
      </c>
      <c r="G32" s="19">
        <f>+[2]Historicals!G33</f>
        <v>4866</v>
      </c>
      <c r="H32" s="19">
        <f>+[2]Historicals!H33</f>
        <v>4904</v>
      </c>
      <c r="I32" s="19">
        <f>+[2]Historicals!I33</f>
        <v>4791</v>
      </c>
      <c r="J32" s="82">
        <f>$P$32*J3</f>
        <v>4951.4424912819341</v>
      </c>
      <c r="K32" s="19">
        <f>$P$32*K3</f>
        <v>5299.0258387624999</v>
      </c>
      <c r="L32" s="19">
        <f>$P$32*L3</f>
        <v>5677.9166358015264</v>
      </c>
      <c r="M32" s="19">
        <f>$P$32*M3</f>
        <v>6091.9865709766873</v>
      </c>
      <c r="N32" s="19">
        <f>$P$32*N3</f>
        <v>6545.4239756145125</v>
      </c>
      <c r="O32" s="64">
        <f>_xlfn.RRI(8,B32,I32)</f>
        <v>5.9776846244500081E-2</v>
      </c>
      <c r="P32" s="75">
        <f>I32/$I$3</f>
        <v>0.10256904303147078</v>
      </c>
    </row>
    <row r="33" spans="1:22" x14ac:dyDescent="0.3">
      <c r="A33" t="s">
        <v>129</v>
      </c>
      <c r="B33" s="19">
        <f>+[2]Historicals!B35</f>
        <v>281</v>
      </c>
      <c r="C33" s="19">
        <f>+[2]Historicals!C35</f>
        <v>281</v>
      </c>
      <c r="D33" s="19">
        <f>+[2]Historicals!D35</f>
        <v>283</v>
      </c>
      <c r="E33" s="19">
        <f>+[2]Historicals!E35</f>
        <v>285</v>
      </c>
      <c r="F33" s="19">
        <f>+[2]Historicals!F35</f>
        <v>283</v>
      </c>
      <c r="G33" s="19">
        <f>+[2]Historicals!G35</f>
        <v>274</v>
      </c>
      <c r="H33" s="19">
        <f>+[2]Historicals!H35</f>
        <v>269</v>
      </c>
      <c r="I33" s="19">
        <f>+[2]Historicals!I35</f>
        <v>286</v>
      </c>
      <c r="J33" s="82">
        <f>$P$33*J3</f>
        <v>295.57765654490362</v>
      </c>
      <c r="K33" s="19">
        <f>$P$33*K3</f>
        <v>316.32673552203613</v>
      </c>
      <c r="L33" s="19">
        <f>$P$33*L3</f>
        <v>338.9447209015313</v>
      </c>
      <c r="M33" s="19">
        <f>$P$33*M3</f>
        <v>363.66273414722031</v>
      </c>
      <c r="N33" s="19">
        <f>$P$33*N3</f>
        <v>390.73079879477154</v>
      </c>
      <c r="O33" s="64">
        <f>_xlfn.RRI(8,B33,I33)</f>
        <v>2.2070746973597011E-3</v>
      </c>
      <c r="P33" s="75">
        <f>I33/$I$3</f>
        <v>6.122885891672019E-3</v>
      </c>
    </row>
    <row r="34" spans="1:22" x14ac:dyDescent="0.3">
      <c r="A34" t="s">
        <v>75</v>
      </c>
      <c r="B34" s="19">
        <f>+[2]Historicals!B36</f>
        <v>131</v>
      </c>
      <c r="C34" s="19">
        <f>+[2]Historicals!C36</f>
        <v>131</v>
      </c>
      <c r="D34" s="19">
        <f>+[2]Historicals!D36</f>
        <v>139</v>
      </c>
      <c r="E34" s="19">
        <f>+[2]Historicals!E36</f>
        <v>154</v>
      </c>
      <c r="F34" s="19">
        <f>+[2]Historicals!F36</f>
        <v>154</v>
      </c>
      <c r="G34" s="19">
        <f>+[2]Historicals!G36</f>
        <v>223</v>
      </c>
      <c r="H34" s="19">
        <f>+[2]Historicals!H36</f>
        <v>242</v>
      </c>
      <c r="I34" s="19">
        <f>+[2]Historicals!I36</f>
        <v>284</v>
      </c>
      <c r="J34" s="82">
        <f>$P$34*J3</f>
        <v>293.51067992570847</v>
      </c>
      <c r="K34" s="19">
        <f>$P$34*K3</f>
        <v>314.11466044845542</v>
      </c>
      <c r="L34" s="19">
        <f>$P$34*L3</f>
        <v>336.57447809802409</v>
      </c>
      <c r="M34" s="19">
        <f>$P$34*M3</f>
        <v>361.11963810423276</v>
      </c>
      <c r="N34" s="19">
        <f>$P$34*N3</f>
        <v>387.99841558641651</v>
      </c>
      <c r="O34" s="64">
        <f>_xlfn.RRI(8,B34,I34)</f>
        <v>0.10155422499604416</v>
      </c>
      <c r="P34" s="75">
        <f>I34/$I$3</f>
        <v>6.0800685078141728E-3</v>
      </c>
    </row>
    <row r="35" spans="1:22" x14ac:dyDescent="0.3">
      <c r="A35" s="109" t="s">
        <v>76</v>
      </c>
      <c r="B35" s="19">
        <f>+[2]Historicals!B34</f>
        <v>0</v>
      </c>
      <c r="C35" s="19">
        <f>+[2]Historicals!C34</f>
        <v>0</v>
      </c>
      <c r="D35" s="19">
        <f>+[2]Historicals!D34</f>
        <v>0</v>
      </c>
      <c r="E35" s="19">
        <f>+[2]Historicals!E34</f>
        <v>0</v>
      </c>
      <c r="F35" s="19">
        <f>+[2]Historicals!F34</f>
        <v>0</v>
      </c>
      <c r="G35" s="19">
        <f>+[2]Historicals!G34</f>
        <v>3097</v>
      </c>
      <c r="H35" s="19">
        <f>+[2]Historicals!H34</f>
        <v>3113</v>
      </c>
      <c r="I35" s="19">
        <f>+[2]Historicals!I34</f>
        <v>2926</v>
      </c>
      <c r="J35" s="82">
        <f>$P$35*J3</f>
        <v>3023.986793882475</v>
      </c>
      <c r="K35" s="19">
        <f>$P$35*K3</f>
        <v>3236.265832648523</v>
      </c>
      <c r="L35" s="19">
        <f>$P$35*L3</f>
        <v>3467.665221531051</v>
      </c>
      <c r="M35" s="19">
        <f>$P$35*M3</f>
        <v>3720.5495108907921</v>
      </c>
      <c r="N35" s="19">
        <f>$P$35*N3</f>
        <v>3997.4766338234317</v>
      </c>
      <c r="O35" s="64">
        <f>_xlfn.RRI(8,G35,I35)</f>
        <v>-7.0745564690758433E-3</v>
      </c>
      <c r="P35" s="75">
        <f>I35/$I$3</f>
        <v>6.2641832584029111E-2</v>
      </c>
      <c r="Q35" s="9" t="s">
        <v>122</v>
      </c>
    </row>
    <row r="36" spans="1:22" x14ac:dyDescent="0.3">
      <c r="A36" t="s">
        <v>128</v>
      </c>
      <c r="B36" s="19">
        <f>+[2]Historicals!B37</f>
        <v>2587</v>
      </c>
      <c r="C36" s="19">
        <f>+[2]Historicals!C37</f>
        <v>2439</v>
      </c>
      <c r="D36" s="19">
        <f>+[2]Historicals!D37</f>
        <v>2787</v>
      </c>
      <c r="E36" s="19">
        <f>+[2]Historicals!E37</f>
        <v>2509</v>
      </c>
      <c r="F36" s="19">
        <f>+[2]Historicals!F37</f>
        <v>2011</v>
      </c>
      <c r="G36" s="19">
        <f>+[2]Historicals!G37</f>
        <v>2326</v>
      </c>
      <c r="H36" s="19">
        <f>+[2]Historicals!H37</f>
        <v>2921</v>
      </c>
      <c r="I36" s="19">
        <f>+[2]Historicals!I37</f>
        <v>3821</v>
      </c>
      <c r="J36" s="82">
        <f>$P$36*J3</f>
        <v>3948.9588309722963</v>
      </c>
      <c r="K36" s="19">
        <f>$P$36*K3</f>
        <v>4226.1694280758738</v>
      </c>
      <c r="L36" s="19">
        <f>$P$36*L3</f>
        <v>4528.3488761005283</v>
      </c>
      <c r="M36" s="19">
        <f>$P$36*M3</f>
        <v>4858.5849901277234</v>
      </c>
      <c r="N36" s="19">
        <f>$P$36*N3</f>
        <v>5220.2181195623152</v>
      </c>
      <c r="O36" s="64">
        <f>_xlfn.RRI(8,B36,I36)</f>
        <v>4.9959569465999998E-2</v>
      </c>
      <c r="P36" s="75">
        <f>I36/$I$3</f>
        <v>8.1802611860415334E-2</v>
      </c>
    </row>
    <row r="37" spans="1:22" ht="15" thickBot="1" x14ac:dyDescent="0.35">
      <c r="A37" s="66" t="s">
        <v>127</v>
      </c>
      <c r="B37" s="65">
        <f>+[2]Historicals!B38</f>
        <v>21597</v>
      </c>
      <c r="C37" s="65">
        <f>+[2]Historicals!C38</f>
        <v>21396</v>
      </c>
      <c r="D37" s="65">
        <f>+[2]Historicals!D38</f>
        <v>23259</v>
      </c>
      <c r="E37" s="65">
        <f>+[2]Historicals!E38</f>
        <v>22536</v>
      </c>
      <c r="F37" s="65">
        <f>+[2]Historicals!F38</f>
        <v>23717</v>
      </c>
      <c r="G37" s="65">
        <f>+[2]Historicals!G38</f>
        <v>31342</v>
      </c>
      <c r="H37" s="65">
        <f>+[2]Historicals!H38</f>
        <v>37740</v>
      </c>
      <c r="I37" s="65">
        <f>+[2]Historicals!I38</f>
        <v>40321</v>
      </c>
      <c r="J37" s="81">
        <f>SUM(J25,J28:J36)</f>
        <v>39994.163565491646</v>
      </c>
      <c r="K37" s="65">
        <f>SUM(K25,K28:K36)</f>
        <v>42524.419332553472</v>
      </c>
      <c r="L37" s="65">
        <f>SUM(L25,L28:L36)</f>
        <v>42317.597878859378</v>
      </c>
      <c r="M37" s="65">
        <f>SUM(M25,M28:M36)</f>
        <v>43527.966394497998</v>
      </c>
      <c r="N37" s="65">
        <f>SUM(N25,N28:N36)</f>
        <v>46061.20435795404</v>
      </c>
      <c r="O37" s="64">
        <f>_xlfn.RRI(8,B37,I37)</f>
        <v>8.1165635351016174E-2</v>
      </c>
      <c r="P37" s="75">
        <f>I37/$I$3</f>
        <v>0.86321986726611</v>
      </c>
    </row>
    <row r="38" spans="1:22" ht="15" thickTop="1" x14ac:dyDescent="0.3">
      <c r="A38" s="9" t="s">
        <v>126</v>
      </c>
      <c r="B38" s="19"/>
      <c r="C38" s="19"/>
      <c r="D38" s="19"/>
      <c r="E38" s="19"/>
      <c r="F38" s="19"/>
      <c r="G38" s="19"/>
      <c r="H38" s="19"/>
      <c r="I38" s="19"/>
      <c r="J38" s="82"/>
      <c r="K38" s="19"/>
      <c r="L38" s="19"/>
      <c r="M38" s="19"/>
      <c r="N38" s="19"/>
      <c r="O38" s="64"/>
      <c r="P38" s="75"/>
    </row>
    <row r="39" spans="1:22" x14ac:dyDescent="0.3">
      <c r="A39" s="6" t="s">
        <v>74</v>
      </c>
      <c r="B39" s="19">
        <f>+[2]Historicals!B41</f>
        <v>107</v>
      </c>
      <c r="C39" s="19">
        <f>+[2]Historicals!C41</f>
        <v>44</v>
      </c>
      <c r="D39" s="19">
        <f>+[2]Historicals!D41</f>
        <v>6</v>
      </c>
      <c r="E39" s="19">
        <f>+[2]Historicals!E41</f>
        <v>6</v>
      </c>
      <c r="F39" s="19">
        <f>+[2]Historicals!F41</f>
        <v>6</v>
      </c>
      <c r="G39" s="19">
        <f>+[2]Historicals!G41</f>
        <v>3</v>
      </c>
      <c r="H39" s="19">
        <f>+[2]Historicals!H41</f>
        <v>0</v>
      </c>
      <c r="I39" s="19">
        <f>+[2]Historicals!I41</f>
        <v>500</v>
      </c>
      <c r="J39" s="82">
        <v>0</v>
      </c>
      <c r="K39" s="19">
        <v>1000</v>
      </c>
      <c r="L39" s="19">
        <v>1000</v>
      </c>
      <c r="M39" s="19">
        <v>1000</v>
      </c>
      <c r="N39" s="19">
        <v>0</v>
      </c>
      <c r="O39" s="64">
        <f>_xlfn.RRI(8,B39,I39)</f>
        <v>0.21254615367910557</v>
      </c>
      <c r="P39" s="75">
        <f>I39/$I$3</f>
        <v>1.0704345964461572E-2</v>
      </c>
      <c r="Q39" s="9" t="s">
        <v>125</v>
      </c>
    </row>
    <row r="40" spans="1:22" x14ac:dyDescent="0.3">
      <c r="A40" s="6" t="s">
        <v>73</v>
      </c>
      <c r="B40" s="19">
        <f>+[2]Historicals!B42</f>
        <v>74</v>
      </c>
      <c r="C40" s="19">
        <f>+[2]Historicals!C42</f>
        <v>1</v>
      </c>
      <c r="D40" s="19">
        <f>+[2]Historicals!D42</f>
        <v>325</v>
      </c>
      <c r="E40" s="19">
        <f>+[2]Historicals!E42</f>
        <v>336</v>
      </c>
      <c r="F40" s="19">
        <f>+[2]Historicals!F42</f>
        <v>9</v>
      </c>
      <c r="G40" s="19">
        <f>+[2]Historicals!G42</f>
        <v>248</v>
      </c>
      <c r="H40" s="19">
        <f>+[2]Historicals!H42</f>
        <v>2</v>
      </c>
      <c r="I40" s="19">
        <f>+[2]Historicals!I42</f>
        <v>10</v>
      </c>
      <c r="J40" s="82">
        <f>$P$40*J3</f>
        <v>10.33488309597565</v>
      </c>
      <c r="K40" s="19">
        <f>$P$40*K3</f>
        <v>11.06037536790336</v>
      </c>
      <c r="L40" s="19">
        <f>$P$40*L3</f>
        <v>11.85121401753606</v>
      </c>
      <c r="M40" s="19">
        <f>$P$40*M3</f>
        <v>12.715480214937774</v>
      </c>
      <c r="N40" s="19">
        <f>$P$40*N3</f>
        <v>13.661916041775228</v>
      </c>
      <c r="O40" s="64">
        <f>_xlfn.RRI(8,B40,I40)</f>
        <v>-0.2213432817675085</v>
      </c>
      <c r="P40" s="75">
        <f>I40/$I$3</f>
        <v>2.1408691928923143E-4</v>
      </c>
    </row>
    <row r="41" spans="1:22" x14ac:dyDescent="0.3">
      <c r="A41" s="6" t="s">
        <v>124</v>
      </c>
      <c r="B41" s="19">
        <f>[2]Historicals!B43</f>
        <v>2131</v>
      </c>
      <c r="C41" s="19">
        <f>[2]Historicals!C43</f>
        <v>2191</v>
      </c>
      <c r="D41" s="19">
        <f>[2]Historicals!D43</f>
        <v>2048</v>
      </c>
      <c r="E41" s="19">
        <f>[2]Historicals!E43</f>
        <v>2279</v>
      </c>
      <c r="F41" s="19">
        <f>[2]Historicals!F43</f>
        <v>2612</v>
      </c>
      <c r="G41" s="19">
        <f>[2]Historicals!G43</f>
        <v>2248</v>
      </c>
      <c r="H41" s="19">
        <f>[2]Historicals!H43</f>
        <v>2836</v>
      </c>
      <c r="I41" s="19">
        <f>[2]Historicals!I43</f>
        <v>3358</v>
      </c>
      <c r="J41" s="82">
        <f>($S$30*J3)/182.5-I41</f>
        <v>3582.9074872572473</v>
      </c>
      <c r="K41" s="19">
        <f>($S$30*K3)/182.5-J41</f>
        <v>3845.2406098266501</v>
      </c>
      <c r="L41" s="19">
        <f>($S$30*L3)/182.5-K41</f>
        <v>4114.0347243505685</v>
      </c>
      <c r="M41" s="19">
        <f>($S$30*M3)/182.5-L41</f>
        <v>4425.6817880016397</v>
      </c>
      <c r="N41" s="19">
        <f>($S$30*N3)/182.5-M41</f>
        <v>4749.6610256546055</v>
      </c>
      <c r="O41" s="64">
        <f>_xlfn.RRI(8,B41,I41)</f>
        <v>5.8490964787963007E-2</v>
      </c>
      <c r="P41" s="75">
        <f>I41/$I$3</f>
        <v>7.1890387497323918E-2</v>
      </c>
    </row>
    <row r="42" spans="1:22" x14ac:dyDescent="0.3">
      <c r="A42" t="s">
        <v>123</v>
      </c>
      <c r="B42" s="19">
        <f>+[2]Historicals!B44+[2]Historicals!B45+[2]Historicals!B46</f>
        <v>4020</v>
      </c>
      <c r="C42" s="19">
        <f>+[2]Historicals!C44+[2]Historicals!C45+[2]Historicals!C46</f>
        <v>3122</v>
      </c>
      <c r="D42" s="19">
        <f>+[2]Historicals!D44+[2]Historicals!D45+[2]Historicals!D46</f>
        <v>3095</v>
      </c>
      <c r="E42" s="19">
        <f>+[2]Historicals!E44+[2]Historicals!E45+[2]Historicals!E46</f>
        <v>3419</v>
      </c>
      <c r="F42" s="19">
        <f>+[2]Historicals!F44+[2]Historicals!F45+[2]Historicals!F46</f>
        <v>5239</v>
      </c>
      <c r="G42" s="19">
        <f>+[2]Historicals!G44+[2]Historicals!G45+[2]Historicals!G46</f>
        <v>5785</v>
      </c>
      <c r="H42" s="19">
        <f>+[2]Historicals!H44+[2]Historicals!H45+[2]Historicals!H46</f>
        <v>6836</v>
      </c>
      <c r="I42" s="19">
        <f>+[2]Historicals!I44+[2]Historicals!I45+[2]Historicals!I46</f>
        <v>6862</v>
      </c>
      <c r="J42" s="82">
        <f>$P$42*J3</f>
        <v>7091.7967804584905</v>
      </c>
      <c r="K42" s="19">
        <f>$P$42*K3</f>
        <v>7589.6295774552855</v>
      </c>
      <c r="L42" s="19">
        <f>$P$42*L3</f>
        <v>8132.3030588332431</v>
      </c>
      <c r="M42" s="19">
        <f>$P$42*M3</f>
        <v>8725.3625234902993</v>
      </c>
      <c r="N42" s="19">
        <f>$P$42*N3</f>
        <v>9374.8067878661604</v>
      </c>
      <c r="O42" s="64">
        <f>_xlfn.RRI(8,B42,I42)</f>
        <v>6.9124009249653007E-2</v>
      </c>
      <c r="P42" s="75">
        <f>I42/$I$3</f>
        <v>0.14690644401627059</v>
      </c>
    </row>
    <row r="43" spans="1:22" x14ac:dyDescent="0.3">
      <c r="A43" t="s">
        <v>72</v>
      </c>
      <c r="B43" s="19">
        <f>+[2]Historicals!B48</f>
        <v>1079</v>
      </c>
      <c r="C43" s="19">
        <f>+[2]Historicals!C48</f>
        <v>2010</v>
      </c>
      <c r="D43" s="19">
        <f>+[2]Historicals!D48</f>
        <v>3471</v>
      </c>
      <c r="E43" s="19">
        <f>+[2]Historicals!E48</f>
        <v>3468</v>
      </c>
      <c r="F43" s="19">
        <f>+[2]Historicals!F48</f>
        <v>3464</v>
      </c>
      <c r="G43" s="19">
        <f>+[2]Historicals!G48</f>
        <v>9406</v>
      </c>
      <c r="H43" s="19">
        <f>+[2]Historicals!H48</f>
        <v>9413</v>
      </c>
      <c r="I43" s="19">
        <f>+[2]Historicals!I48</f>
        <v>8920</v>
      </c>
      <c r="J43" s="82">
        <f>$P$43*J3</f>
        <v>9218.7157216102787</v>
      </c>
      <c r="K43" s="19">
        <f>$P$43*K3</f>
        <v>9865.8548281697967</v>
      </c>
      <c r="L43" s="19">
        <f>$P$43*L3</f>
        <v>10571.282903642164</v>
      </c>
      <c r="M43" s="19">
        <f>$P$43*M3</f>
        <v>11342.208351724494</v>
      </c>
      <c r="N43" s="19">
        <f>$P$43*N3</f>
        <v>12186.429109263503</v>
      </c>
      <c r="O43" s="64">
        <f>_xlfn.RRI(8,B43,I43)</f>
        <v>0.30217072129826317</v>
      </c>
      <c r="P43" s="75">
        <f>I43/$I$3</f>
        <v>0.19096553200599442</v>
      </c>
    </row>
    <row r="44" spans="1:22" s="69" customFormat="1" x14ac:dyDescent="0.3">
      <c r="A44" s="109" t="s">
        <v>71</v>
      </c>
      <c r="B44" s="19">
        <f>+[2]Historicals!B49</f>
        <v>0</v>
      </c>
      <c r="C44" s="19">
        <f>+[2]Historicals!C49</f>
        <v>0</v>
      </c>
      <c r="D44" s="19">
        <f>+[2]Historicals!D49</f>
        <v>0</v>
      </c>
      <c r="E44" s="19">
        <f>+[2]Historicals!E49</f>
        <v>0</v>
      </c>
      <c r="F44" s="19">
        <f>+[2]Historicals!F49</f>
        <v>0</v>
      </c>
      <c r="G44" s="19">
        <f>+[2]Historicals!G49</f>
        <v>2913</v>
      </c>
      <c r="H44" s="19">
        <f>+[2]Historicals!H49</f>
        <v>2931</v>
      </c>
      <c r="I44" s="19">
        <f>+[2]Historicals!I49</f>
        <v>2777</v>
      </c>
      <c r="J44" s="82">
        <f>$P$44*J3</f>
        <v>2869.997035752438</v>
      </c>
      <c r="K44" s="19">
        <f>$P$44*K3</f>
        <v>3071.4662396667632</v>
      </c>
      <c r="L44" s="19">
        <f>$P$44*L3</f>
        <v>3291.0821326697637</v>
      </c>
      <c r="M44" s="19">
        <f>$P$44*M3</f>
        <v>3531.0888556882196</v>
      </c>
      <c r="N44" s="19">
        <f>$P$44*N3</f>
        <v>3793.9140848009811</v>
      </c>
      <c r="O44" s="64">
        <f>_xlfn.RRI(8,G44,I44)</f>
        <v>-5.9587097551663248E-3</v>
      </c>
      <c r="P44" s="75">
        <f>I44/$I$3</f>
        <v>5.9451937486619567E-2</v>
      </c>
      <c r="Q44" s="9" t="s">
        <v>122</v>
      </c>
      <c r="R44"/>
      <c r="S44"/>
      <c r="T44"/>
      <c r="U44"/>
      <c r="V44"/>
    </row>
    <row r="45" spans="1:22" x14ac:dyDescent="0.3">
      <c r="A45" t="s">
        <v>121</v>
      </c>
      <c r="B45" s="19">
        <f>+[2]Historicals!B50</f>
        <v>1479</v>
      </c>
      <c r="C45" s="19">
        <f>+[2]Historicals!C50</f>
        <v>1770</v>
      </c>
      <c r="D45" s="19">
        <f>+[2]Historicals!D50</f>
        <v>1907</v>
      </c>
      <c r="E45" s="19">
        <f>+[2]Historicals!E50</f>
        <v>3216</v>
      </c>
      <c r="F45" s="19">
        <f>+[2]Historicals!F50</f>
        <v>3347</v>
      </c>
      <c r="G45" s="19">
        <f>+[2]Historicals!G50</f>
        <v>2684</v>
      </c>
      <c r="H45" s="19">
        <f>+[2]Historicals!H50</f>
        <v>2955</v>
      </c>
      <c r="I45" s="19">
        <f>+[2]Historicals!I50</f>
        <v>2613</v>
      </c>
      <c r="J45" s="82">
        <f>$P$45*J3+(0.2*I45)</f>
        <v>3223.1049529784373</v>
      </c>
      <c r="K45" s="19">
        <f>$P$45*K3</f>
        <v>2890.0760836331478</v>
      </c>
      <c r="L45" s="19">
        <f>$P$45*L3</f>
        <v>3096.7222227821721</v>
      </c>
      <c r="M45" s="19">
        <f>$P$45*M3</f>
        <v>3322.5549801632401</v>
      </c>
      <c r="N45" s="19">
        <f>$P$45*N3</f>
        <v>3569.8586617158671</v>
      </c>
      <c r="O45" s="64">
        <f>_xlfn.RRI(8,B45,I45)</f>
        <v>7.3733256110524392E-2</v>
      </c>
      <c r="P45" s="75">
        <f>(I45/$I$3)</f>
        <v>5.5940912010276171E-2</v>
      </c>
      <c r="Q45" s="9" t="s">
        <v>120</v>
      </c>
    </row>
    <row r="46" spans="1:22" x14ac:dyDescent="0.3">
      <c r="A46" s="9" t="s">
        <v>119</v>
      </c>
      <c r="B46" s="19"/>
      <c r="C46" s="19"/>
      <c r="D46" s="19"/>
      <c r="E46" s="19"/>
      <c r="F46" s="19"/>
      <c r="G46" s="19"/>
      <c r="H46" s="19"/>
      <c r="I46" s="19"/>
      <c r="J46" s="82"/>
      <c r="K46" s="19"/>
      <c r="L46" s="19"/>
      <c r="M46" s="19"/>
      <c r="N46" s="19"/>
      <c r="O46" s="64"/>
      <c r="P46" s="75"/>
      <c r="Q46" s="108" t="s">
        <v>118</v>
      </c>
    </row>
    <row r="47" spans="1:22" x14ac:dyDescent="0.3">
      <c r="A47" s="6" t="s">
        <v>117</v>
      </c>
      <c r="B47" s="19">
        <f>+[2]Historicals!B56</f>
        <v>3</v>
      </c>
      <c r="C47" s="19">
        <f>+[2]Historicals!C56</f>
        <v>3</v>
      </c>
      <c r="D47" s="19">
        <f>+[2]Historicals!D56</f>
        <v>3</v>
      </c>
      <c r="E47" s="19">
        <f>+[2]Historicals!E56</f>
        <v>3</v>
      </c>
      <c r="F47" s="19">
        <f>+[2]Historicals!F56</f>
        <v>3</v>
      </c>
      <c r="G47" s="19">
        <f>+[2]Historicals!G56</f>
        <v>3</v>
      </c>
      <c r="H47" s="19">
        <f>+[2]Historicals!H56</f>
        <v>3</v>
      </c>
      <c r="I47" s="19">
        <f>+[2]Historicals!I56</f>
        <v>3</v>
      </c>
      <c r="J47" s="82">
        <f>$P$47*J3</f>
        <v>3.1004649287926949</v>
      </c>
      <c r="K47" s="19">
        <f>$P$47*K3</f>
        <v>3.3181126103710081</v>
      </c>
      <c r="L47" s="19">
        <f>$P$47*L3</f>
        <v>3.5553642052608181</v>
      </c>
      <c r="M47" s="19">
        <f>$P$47*M3</f>
        <v>3.8146440644813322</v>
      </c>
      <c r="N47" s="19">
        <f>$P$47*N3</f>
        <v>4.0985748125325685</v>
      </c>
      <c r="O47" s="64">
        <f>_xlfn.RRI(8,B47,I47)</f>
        <v>0</v>
      </c>
      <c r="P47" s="75">
        <f>I47/$I$3</f>
        <v>6.4226075786769429E-5</v>
      </c>
      <c r="Q47" s="9"/>
    </row>
    <row r="48" spans="1:22" x14ac:dyDescent="0.3">
      <c r="A48" s="6" t="s">
        <v>116</v>
      </c>
      <c r="B48" s="19">
        <f>+[2]Historicals!B59</f>
        <v>4685</v>
      </c>
      <c r="C48" s="19">
        <f>+[2]Historicals!C59</f>
        <v>4151</v>
      </c>
      <c r="D48" s="19">
        <f>+[2]Historicals!D59</f>
        <v>6907</v>
      </c>
      <c r="E48" s="19">
        <f>+[2]Historicals!E59</f>
        <v>3517</v>
      </c>
      <c r="F48" s="19">
        <f>+[2]Historicals!F59</f>
        <v>1643</v>
      </c>
      <c r="G48" s="19">
        <v>-191</v>
      </c>
      <c r="H48" s="19">
        <f>+[2]Historicals!H59</f>
        <v>3179</v>
      </c>
      <c r="I48" s="97">
        <f>+[2]Historicals!I59</f>
        <v>3476</v>
      </c>
      <c r="J48" s="89">
        <f>I48+J16+J67+J69</f>
        <v>3995.5802195222077</v>
      </c>
      <c r="K48" s="97">
        <f>J48+K16+K67+K69</f>
        <v>4848.046063264127</v>
      </c>
      <c r="L48" s="97">
        <f>K48+L16+L67+L69</f>
        <v>6090.033968661679</v>
      </c>
      <c r="M48" s="97">
        <f>L48+M16+M67+M69</f>
        <v>8776.7498618987011</v>
      </c>
      <c r="N48" s="97">
        <f>M48+N16+N67+N69</f>
        <v>11982.114743136019</v>
      </c>
      <c r="O48" s="64">
        <f>_xlfn.RRI(8,B48,I48)</f>
        <v>-3.6623004512981838E-2</v>
      </c>
      <c r="P48" s="75">
        <f>I48/$I$3</f>
        <v>7.4416613144936847E-2</v>
      </c>
      <c r="Q48" s="9" t="s">
        <v>115</v>
      </c>
    </row>
    <row r="49" spans="1:22" x14ac:dyDescent="0.3">
      <c r="A49" s="6" t="s">
        <v>70</v>
      </c>
      <c r="B49" s="19">
        <f>+[3]Historicals!B57</f>
        <v>6773</v>
      </c>
      <c r="C49" s="19">
        <f>+[3]Historicals!C57</f>
        <v>7786</v>
      </c>
      <c r="D49" s="19">
        <f>+[3]Historicals!D57</f>
        <v>5710</v>
      </c>
      <c r="E49" s="19">
        <f>+[3]Historicals!E57</f>
        <v>6384</v>
      </c>
      <c r="F49" s="19">
        <f>+[3]Historicals!F57</f>
        <v>7163</v>
      </c>
      <c r="G49" s="19">
        <f>+[3]Historicals!G57</f>
        <v>8299</v>
      </c>
      <c r="H49" s="19">
        <f>+[3]Historicals!H57</f>
        <v>9965</v>
      </c>
      <c r="I49" s="19">
        <f>+[3]Historicals!I57</f>
        <v>11484</v>
      </c>
      <c r="J49" s="82">
        <f>J37-SUM(J39:J48,J50)</f>
        <v>9669.9767374357543</v>
      </c>
      <c r="K49" s="19">
        <f>K37-SUM(K39:K48,K50)</f>
        <v>9048.0075058600996</v>
      </c>
      <c r="L49" s="19">
        <f>L37-SUM(L39:L48,L50)</f>
        <v>5629.8636839393366</v>
      </c>
      <c r="M49" s="19">
        <f>M37-SUM(M39:M48,M50)</f>
        <v>1983.4376384169591</v>
      </c>
      <c r="N49" s="19">
        <f>N37-SUM(N39:N48,N50)</f>
        <v>-47.789475465862779</v>
      </c>
      <c r="O49" s="64">
        <f>_xlfn.RRI(8,B49,I49)</f>
        <v>6.8228138179007525E-2</v>
      </c>
      <c r="P49" s="75">
        <f>I49/$I$3</f>
        <v>0.24585741811175338</v>
      </c>
      <c r="Q49" s="9" t="s">
        <v>114</v>
      </c>
    </row>
    <row r="50" spans="1:22" x14ac:dyDescent="0.3">
      <c r="A50" s="6" t="s">
        <v>113</v>
      </c>
      <c r="B50" s="19">
        <f>+[3]Historicals!B58</f>
        <v>1246</v>
      </c>
      <c r="C50" s="19">
        <f>+[3]Historicals!C58</f>
        <v>318</v>
      </c>
      <c r="D50" s="19">
        <f>+[3]Historicals!D58</f>
        <v>-213</v>
      </c>
      <c r="E50" s="19">
        <f>+[3]Historicals!E58</f>
        <v>-92</v>
      </c>
      <c r="F50" s="19">
        <f>+[3]Historicals!F58</f>
        <v>231</v>
      </c>
      <c r="G50" s="19">
        <f>+[3]Historicals!G58</f>
        <v>-56</v>
      </c>
      <c r="H50" s="19">
        <f>+[3]Historicals!H58</f>
        <v>-380</v>
      </c>
      <c r="I50" s="19">
        <f>+[3]Historicals!I58</f>
        <v>318</v>
      </c>
      <c r="J50" s="82">
        <f>J3*$P$50</f>
        <v>328.64928245202566</v>
      </c>
      <c r="K50" s="19">
        <f>K3*$P$50</f>
        <v>351.71993669932687</v>
      </c>
      <c r="L50" s="19">
        <f>L3*$P$50</f>
        <v>376.86860575764672</v>
      </c>
      <c r="M50" s="19">
        <f>M3*$P$50</f>
        <v>404.35227083502122</v>
      </c>
      <c r="N50" s="19">
        <f>N3*$P$50</f>
        <v>434.44893012845228</v>
      </c>
      <c r="O50" s="64">
        <f>_xlfn.RRI(8,B50,I50)</f>
        <v>-0.15693000161590154</v>
      </c>
      <c r="P50" s="75">
        <f>I50/$I$3</f>
        <v>6.8079640333975596E-3</v>
      </c>
    </row>
    <row r="51" spans="1:22" ht="15" thickBot="1" x14ac:dyDescent="0.35">
      <c r="A51" s="66" t="s">
        <v>112</v>
      </c>
      <c r="B51" s="65">
        <f>+[2]Historicals!B61</f>
        <v>21597</v>
      </c>
      <c r="C51" s="65">
        <f>+[2]Historicals!C61</f>
        <v>21396</v>
      </c>
      <c r="D51" s="65">
        <f>+[2]Historicals!D61</f>
        <v>23259</v>
      </c>
      <c r="E51" s="65">
        <f>+[2]Historicals!E61</f>
        <v>22536</v>
      </c>
      <c r="F51" s="65">
        <f>+[2]Historicals!F61</f>
        <v>23717</v>
      </c>
      <c r="G51" s="65">
        <f>+[2]Historicals!G61</f>
        <v>31342</v>
      </c>
      <c r="H51" s="65">
        <f>+[2]Historicals!H61</f>
        <v>37740</v>
      </c>
      <c r="I51" s="65">
        <f>+[2]Historicals!I61</f>
        <v>40321</v>
      </c>
      <c r="J51" s="81">
        <f>SUM(J39:J50)</f>
        <v>39994.163565491646</v>
      </c>
      <c r="K51" s="65">
        <f>SUM(K39:K50)</f>
        <v>42524.419332553472</v>
      </c>
      <c r="L51" s="65">
        <f>SUM(L39:L50)</f>
        <v>42317.597878859378</v>
      </c>
      <c r="M51" s="65">
        <f>SUM(M39:M50)</f>
        <v>43527.966394497998</v>
      </c>
      <c r="N51" s="65">
        <f>SUM(N39:N50)</f>
        <v>46061.20435795404</v>
      </c>
      <c r="O51" s="64">
        <f>_xlfn.RRI(8,B51,I51)</f>
        <v>8.1165635351016174E-2</v>
      </c>
      <c r="P51" s="75">
        <f>I51/$I$3</f>
        <v>0.86321986726611</v>
      </c>
    </row>
    <row r="52" spans="1:22" ht="15" thickTop="1" x14ac:dyDescent="0.3">
      <c r="A52" s="106" t="s">
        <v>111</v>
      </c>
      <c r="B52" s="106">
        <f>B51-B37</f>
        <v>0</v>
      </c>
      <c r="C52" s="106">
        <f>C51-C37</f>
        <v>0</v>
      </c>
      <c r="D52" s="106">
        <f>D51-D37</f>
        <v>0</v>
      </c>
      <c r="E52" s="106">
        <f>E51-E37</f>
        <v>0</v>
      </c>
      <c r="F52" s="106">
        <f>F51-F37</f>
        <v>0</v>
      </c>
      <c r="G52" s="106">
        <f>G51-G37</f>
        <v>0</v>
      </c>
      <c r="H52" s="106">
        <f>H51-H37</f>
        <v>0</v>
      </c>
      <c r="I52" s="106">
        <f>I51-I37</f>
        <v>0</v>
      </c>
      <c r="J52" s="107">
        <f>J51-J37</f>
        <v>0</v>
      </c>
      <c r="K52" s="106">
        <f>K51-K37</f>
        <v>0</v>
      </c>
      <c r="L52" s="106">
        <f>L51-L37</f>
        <v>0</v>
      </c>
      <c r="M52" s="106">
        <f>M51-M37</f>
        <v>0</v>
      </c>
      <c r="N52" s="106">
        <f>N51-N37</f>
        <v>0</v>
      </c>
      <c r="O52" s="105"/>
      <c r="Q52" s="104"/>
      <c r="R52" s="104">
        <f>-K52</f>
        <v>0</v>
      </c>
      <c r="S52" s="104">
        <f>-L52</f>
        <v>0</v>
      </c>
      <c r="T52" s="104">
        <f>-M52</f>
        <v>0</v>
      </c>
      <c r="U52" s="104">
        <f>-N52</f>
        <v>0</v>
      </c>
      <c r="V52" s="103"/>
    </row>
    <row r="53" spans="1:22" x14ac:dyDescent="0.3">
      <c r="A53" s="102" t="s">
        <v>110</v>
      </c>
      <c r="B53" s="101"/>
      <c r="C53" s="101"/>
      <c r="D53" s="101"/>
      <c r="E53" s="101"/>
      <c r="F53" s="101"/>
      <c r="G53" s="101"/>
      <c r="H53" s="101"/>
      <c r="I53" s="101"/>
      <c r="J53" s="100"/>
      <c r="K53" s="99"/>
      <c r="L53" s="99"/>
      <c r="M53" s="99"/>
      <c r="N53" s="99"/>
      <c r="O53" s="98"/>
      <c r="P53" s="98"/>
    </row>
    <row r="54" spans="1:22" x14ac:dyDescent="0.3">
      <c r="A54" s="69" t="s">
        <v>109</v>
      </c>
      <c r="B54" s="70">
        <f>+'[2]Segmental forecast'!B11</f>
        <v>4233</v>
      </c>
      <c r="C54" s="70">
        <f>+'[2]Segmental forecast'!C11</f>
        <v>4642</v>
      </c>
      <c r="D54" s="70">
        <f>+'[2]Segmental forecast'!D11</f>
        <v>4945</v>
      </c>
      <c r="E54" s="70">
        <f>+'[2]Segmental forecast'!E11</f>
        <v>4379</v>
      </c>
      <c r="F54" s="70">
        <f>+'[2]Segmental forecast'!F11</f>
        <v>4850</v>
      </c>
      <c r="G54" s="70">
        <f>+'[2]Segmental forecast'!G11</f>
        <v>2976</v>
      </c>
      <c r="H54" s="70">
        <f>+'[2]Segmental forecast'!H11</f>
        <v>6923</v>
      </c>
      <c r="I54" s="70">
        <f>+'[2]Segmental forecast'!I11</f>
        <v>6856</v>
      </c>
      <c r="J54" s="96">
        <f>$P$54*J3</f>
        <v>7085.5958506009056</v>
      </c>
      <c r="K54" s="70">
        <f>$P$54*K3</f>
        <v>7582.9933522345436</v>
      </c>
      <c r="L54" s="70">
        <f>$P$54*L3</f>
        <v>8125.1923304227221</v>
      </c>
      <c r="M54" s="70">
        <f>$P$54*M3</f>
        <v>8717.7332353613365</v>
      </c>
      <c r="N54" s="70">
        <f>$P$54*N3</f>
        <v>9366.609638241096</v>
      </c>
      <c r="O54" s="64">
        <f>_xlfn.RRI(8,B54,I54)</f>
        <v>6.2130346886679622E-2</v>
      </c>
      <c r="P54" s="75">
        <f>I54/$I$3</f>
        <v>0.14677799186469706</v>
      </c>
    </row>
    <row r="55" spans="1:22" x14ac:dyDescent="0.3">
      <c r="A55" t="s">
        <v>108</v>
      </c>
      <c r="B55" s="22">
        <f>+[2]Historicals!B68</f>
        <v>606</v>
      </c>
      <c r="C55" s="22">
        <f>+[2]Historicals!C68+[2]Historicals!C71</f>
        <v>662</v>
      </c>
      <c r="D55" s="22">
        <f>+[2]Historicals!D68+[2]Historicals!D71</f>
        <v>716</v>
      </c>
      <c r="E55" s="22">
        <f>+[2]Historicals!E68+[2]Historicals!E71</f>
        <v>774</v>
      </c>
      <c r="F55" s="22">
        <f>+[2]Historicals!F68+[2]Historicals!F71</f>
        <v>720</v>
      </c>
      <c r="G55" s="22">
        <f>+[2]Historicals!G68+[2]Historicals!G71</f>
        <v>1119</v>
      </c>
      <c r="H55" s="22">
        <f>+[2]Historicals!H68+[2]Historicals!H71</f>
        <v>797</v>
      </c>
      <c r="I55" s="22">
        <f>+[2]Historicals!I68+[2]Historicals!I71</f>
        <v>840</v>
      </c>
      <c r="J55" s="86">
        <f>$P$55*J3</f>
        <v>868.13018006195455</v>
      </c>
      <c r="K55" s="95">
        <f>$P$55*K3</f>
        <v>929.07153090388215</v>
      </c>
      <c r="L55" s="95">
        <f>$P$55*L3</f>
        <v>995.50197747302889</v>
      </c>
      <c r="M55" s="95">
        <f>$P$55*M3</f>
        <v>1068.1003380547729</v>
      </c>
      <c r="N55" s="95">
        <f>$P$55*N3</f>
        <v>1147.6009475091191</v>
      </c>
      <c r="O55" s="64">
        <f>_xlfn.RRI(8,B55,I55)</f>
        <v>4.1659628878723209E-2</v>
      </c>
      <c r="P55" s="75">
        <f>I55/$I$3</f>
        <v>1.7983301220295438E-2</v>
      </c>
    </row>
    <row r="56" spans="1:22" x14ac:dyDescent="0.3">
      <c r="A56" t="s">
        <v>107</v>
      </c>
      <c r="B56" s="19">
        <f>[3]Historicals!B106</f>
        <v>1262</v>
      </c>
      <c r="C56" s="19">
        <f>[3]Historicals!C106</f>
        <v>748</v>
      </c>
      <c r="D56" s="19">
        <f>[3]Historicals!D106</f>
        <v>703</v>
      </c>
      <c r="E56" s="19">
        <f>[3]Historicals!E106</f>
        <v>529</v>
      </c>
      <c r="F56" s="19">
        <f>[3]Historicals!F106</f>
        <v>757</v>
      </c>
      <c r="G56" s="19">
        <f>[3]Historicals!G106</f>
        <v>1028</v>
      </c>
      <c r="H56" s="19">
        <f>[3]Historicals!H106</f>
        <v>1177</v>
      </c>
      <c r="I56" s="19">
        <f>[3]Historicals!I106</f>
        <v>1231</v>
      </c>
      <c r="J56" s="86">
        <f>$P$56*J3</f>
        <v>1272.2241091146025</v>
      </c>
      <c r="K56" s="95">
        <f>$P$56*K3</f>
        <v>1361.5322077889036</v>
      </c>
      <c r="L56" s="95">
        <f>$P$56*L3</f>
        <v>1458.8844455586889</v>
      </c>
      <c r="M56" s="95">
        <f>$P$56*M3</f>
        <v>1565.27561445884</v>
      </c>
      <c r="N56" s="95">
        <f>$P$56*N3</f>
        <v>1681.7818647425306</v>
      </c>
      <c r="O56" s="64">
        <f>_xlfn.RRI(8,B56,I56)</f>
        <v>-3.1040370989854349E-3</v>
      </c>
      <c r="P56" s="75">
        <f>I56/$I$3</f>
        <v>2.6354099764504389E-2</v>
      </c>
    </row>
    <row r="57" spans="1:22" x14ac:dyDescent="0.3">
      <c r="A57" s="69" t="s">
        <v>106</v>
      </c>
      <c r="B57" s="70">
        <f>B54*(1-B15)</f>
        <v>3294.7940546967893</v>
      </c>
      <c r="C57" s="70">
        <f>C54*(1-C15)</f>
        <v>3775.4531689379191</v>
      </c>
      <c r="D57" s="70">
        <f>D54*(1-D15)</f>
        <v>4291.19934506754</v>
      </c>
      <c r="E57" s="70">
        <f>E54*(1-E15)</f>
        <v>1957.1345664739886</v>
      </c>
      <c r="F57" s="70">
        <f>F54*(1-F15)</f>
        <v>4070.1208081649661</v>
      </c>
      <c r="G57" s="70">
        <f>G54*(1-G15)</f>
        <v>2617.2719085555941</v>
      </c>
      <c r="H57" s="70">
        <f>H54*(1-H15)</f>
        <v>5952.2625731872085</v>
      </c>
      <c r="I57" s="70">
        <f>I54*(1-I15)</f>
        <v>6232.3524282062854</v>
      </c>
      <c r="J57" s="96">
        <f>$P$57*J3</f>
        <v>6441.0633758431941</v>
      </c>
      <c r="K57" s="70">
        <f>$P$57*K3</f>
        <v>6893.2157281025493</v>
      </c>
      <c r="L57" s="70">
        <f>$P$57*L3</f>
        <v>7386.0942459383232</v>
      </c>
      <c r="M57" s="70">
        <f>$P$57*M3</f>
        <v>7924.735399337641</v>
      </c>
      <c r="N57" s="70">
        <f>$P$57*N3</f>
        <v>8514.5875616908252</v>
      </c>
      <c r="O57" s="64">
        <f>_xlfn.RRI(8,B57,I57)</f>
        <v>8.29364366108718E-2</v>
      </c>
      <c r="P57" s="75">
        <f>I57/$I$3</f>
        <v>0.13342651312794446</v>
      </c>
    </row>
    <row r="58" spans="1:22" x14ac:dyDescent="0.3">
      <c r="A58" t="s">
        <v>105</v>
      </c>
      <c r="B58" s="19">
        <f>+[2]Historicals!B105</f>
        <v>53</v>
      </c>
      <c r="C58" s="19">
        <f>+[2]Historicals!C105</f>
        <v>70</v>
      </c>
      <c r="D58" s="19">
        <f>+[2]Historicals!D105</f>
        <v>98</v>
      </c>
      <c r="E58" s="19">
        <f>+[2]Historicals!E105</f>
        <v>125</v>
      </c>
      <c r="F58" s="19">
        <f>+[2]Historicals!F105</f>
        <v>153</v>
      </c>
      <c r="G58" s="19">
        <f>+[2]Historicals!G105</f>
        <v>140</v>
      </c>
      <c r="H58" s="19">
        <f>+[2]Historicals!H105</f>
        <v>293</v>
      </c>
      <c r="I58" s="19">
        <f>+[2]Historicals!I105</f>
        <v>290</v>
      </c>
      <c r="J58" s="86">
        <f>$P$58*J3</f>
        <v>299.71160978329385</v>
      </c>
      <c r="K58" s="95">
        <f>$P$58*K3</f>
        <v>320.75088566919743</v>
      </c>
      <c r="L58" s="95">
        <f>$P$58*L3</f>
        <v>343.68520650854572</v>
      </c>
      <c r="M58" s="95">
        <f>$P$58*M3</f>
        <v>368.74892623319545</v>
      </c>
      <c r="N58" s="95">
        <f>$P$58*N3</f>
        <v>396.19556521148166</v>
      </c>
      <c r="O58" s="64">
        <f>_xlfn.RRI(8,B58,I58)</f>
        <v>0.23670257779584225</v>
      </c>
      <c r="P58" s="75">
        <f>I58/$I$3</f>
        <v>6.2085206593877115E-3</v>
      </c>
    </row>
    <row r="59" spans="1:22" x14ac:dyDescent="0.3">
      <c r="A59" t="s">
        <v>104</v>
      </c>
      <c r="B59" s="19">
        <v>-113</v>
      </c>
      <c r="C59" s="19">
        <f>B26-C26</f>
        <v>-324</v>
      </c>
      <c r="D59" s="19">
        <f>C26-D26</f>
        <v>-796</v>
      </c>
      <c r="E59" s="19">
        <f>D26-E26</f>
        <v>204</v>
      </c>
      <c r="F59" s="19">
        <f>E26-F26</f>
        <v>-802</v>
      </c>
      <c r="G59" s="19">
        <f>F26-G26</f>
        <v>-586</v>
      </c>
      <c r="H59" s="19">
        <f>G26-H26</f>
        <v>-613</v>
      </c>
      <c r="I59" s="19">
        <f>H26-I26</f>
        <v>-1248</v>
      </c>
      <c r="J59" s="89">
        <f>$P$59*J3</f>
        <v>-1289.7934103777611</v>
      </c>
      <c r="K59" s="97">
        <f>$P$59*K3</f>
        <v>-1380.3348459143394</v>
      </c>
      <c r="L59" s="97">
        <f>$P$59*L3</f>
        <v>-1479.0315093885004</v>
      </c>
      <c r="M59" s="97">
        <f>$P$59*M3</f>
        <v>-1586.8919308242341</v>
      </c>
      <c r="N59" s="97">
        <f>$P$59*N3</f>
        <v>-1705.0071220135487</v>
      </c>
      <c r="O59" s="64">
        <f>_xlfn.RRI(8,B59,I59)</f>
        <v>0.35018107930942133</v>
      </c>
      <c r="P59" s="75">
        <f>I59/$I$3</f>
        <v>-2.6718047527296084E-2</v>
      </c>
    </row>
    <row r="60" spans="1:22" x14ac:dyDescent="0.3">
      <c r="A60" t="s">
        <v>103</v>
      </c>
      <c r="B60" s="19">
        <f>[3]Historicals!B84+[3]Historicals!B107</f>
        <v>-757</v>
      </c>
      <c r="C60" s="19">
        <f>[3]Historicals!C84+[3]Historicals!C107</f>
        <v>-891</v>
      </c>
      <c r="D60" s="19">
        <f>[3]Historicals!D84+[3]Historicals!D107</f>
        <v>-839</v>
      </c>
      <c r="E60" s="19">
        <f>[3]Historicals!E84+[3]Historicals!E107</f>
        <v>-734</v>
      </c>
      <c r="F60" s="19">
        <f>[3]Historicals!F84+[3]Historicals!F107</f>
        <v>-959</v>
      </c>
      <c r="G60" s="19">
        <f>[3]Historicals!G84+[3]Historicals!G107</f>
        <v>-965</v>
      </c>
      <c r="H60" s="19">
        <f>[3]Historicals!H84+[3]Historicals!H107</f>
        <v>-516</v>
      </c>
      <c r="I60" s="19">
        <f>[3]Historicals!I84+[3]Historicals!I107</f>
        <v>-598</v>
      </c>
      <c r="J60" s="86">
        <f>$P$60*J3</f>
        <v>-618.02600913934384</v>
      </c>
      <c r="K60" s="95">
        <f>$P$60*K3</f>
        <v>-661.41044700062093</v>
      </c>
      <c r="L60" s="95">
        <f>$P$60*L3</f>
        <v>-708.70259824865639</v>
      </c>
      <c r="M60" s="95">
        <f>$P$60*M3</f>
        <v>-760.38571685327884</v>
      </c>
      <c r="N60" s="95">
        <f>$P$60*N3</f>
        <v>-816.98257929815873</v>
      </c>
      <c r="O60" s="64">
        <f>_xlfn.RRI(8,B60,I60)</f>
        <v>-2.9041511057092406E-2</v>
      </c>
      <c r="P60" s="75">
        <f>I60/$I$3</f>
        <v>-1.280239777349604E-2</v>
      </c>
    </row>
    <row r="61" spans="1:22" x14ac:dyDescent="0.3">
      <c r="A61" s="69" t="s">
        <v>7</v>
      </c>
      <c r="B61" s="70">
        <f>B57+B55-B59-B60</f>
        <v>4770.7940546967893</v>
      </c>
      <c r="C61" s="70">
        <f>C57+C55-C59-C60</f>
        <v>5652.4531689379191</v>
      </c>
      <c r="D61" s="70">
        <f>D57+D55-D59-D60</f>
        <v>6642.19934506754</v>
      </c>
      <c r="E61" s="70">
        <f>E57+E55-E59-E60</f>
        <v>3261.1345664739883</v>
      </c>
      <c r="F61" s="70">
        <f>F57+F55-F59-F60</f>
        <v>6551.1208081649656</v>
      </c>
      <c r="G61" s="70">
        <f>G57+G55-G59-G60</f>
        <v>5287.2719085555946</v>
      </c>
      <c r="H61" s="70">
        <f>H57+H55-H59-H60</f>
        <v>7878.2625731872085</v>
      </c>
      <c r="I61" s="70">
        <f>I57+I55-I59-I60</f>
        <v>8918.3524282062863</v>
      </c>
      <c r="J61" s="96">
        <f>$P$61*J3</f>
        <v>9217.0129754222544</v>
      </c>
      <c r="K61" s="70">
        <f>$P$61*K3</f>
        <v>9864.032551921393</v>
      </c>
      <c r="L61" s="70">
        <f>$P$61*L3</f>
        <v>10569.33033104851</v>
      </c>
      <c r="M61" s="70">
        <f>$P$61*M3</f>
        <v>11340.113385069928</v>
      </c>
      <c r="N61" s="70">
        <f>$P$61*N3</f>
        <v>12184.178210511653</v>
      </c>
      <c r="O61" s="64">
        <f>_xlfn.RRI(8,B61,I61)</f>
        <v>8.1338697294891071E-2</v>
      </c>
      <c r="P61" s="75">
        <f>I61/$I$3</f>
        <v>0.19093025964903204</v>
      </c>
    </row>
    <row r="62" spans="1:22" x14ac:dyDescent="0.3">
      <c r="A62" t="s">
        <v>102</v>
      </c>
      <c r="B62" s="19">
        <f>B63-B61</f>
        <v>-90.794054696789317</v>
      </c>
      <c r="C62" s="19">
        <f>C63-C61</f>
        <v>-2556.4531689379191</v>
      </c>
      <c r="D62" s="19">
        <f>D63-D61</f>
        <v>-2796.19934506754</v>
      </c>
      <c r="E62" s="19">
        <f>E63-E61</f>
        <v>1693.8654335260117</v>
      </c>
      <c r="F62" s="19">
        <f>F63-F61</f>
        <v>-648.12080816496564</v>
      </c>
      <c r="G62" s="19">
        <f>G63-G61</f>
        <v>-2802.2719085555946</v>
      </c>
      <c r="H62" s="19">
        <f>H63-H61</f>
        <v>-1221.2625731872085</v>
      </c>
      <c r="I62" s="19">
        <f>I63-I61</f>
        <v>-3730.3524282062863</v>
      </c>
      <c r="J62" s="86">
        <f>$P$62*J3</f>
        <v>-3855.2756252300869</v>
      </c>
      <c r="K62" s="95">
        <f>$P$62*K3</f>
        <v>-4125.9098110531295</v>
      </c>
      <c r="L62" s="95">
        <f>$P$62*L3</f>
        <v>-4420.9204987508019</v>
      </c>
      <c r="M62" s="95">
        <f>$P$62*M3</f>
        <v>-4743.3222495602113</v>
      </c>
      <c r="N62" s="95">
        <f>$P$62*N3</f>
        <v>-5096.3761680386642</v>
      </c>
      <c r="O62" s="64">
        <f>(I62-B62)/-I62</f>
        <v>-0.97566073006661014</v>
      </c>
      <c r="P62" s="75">
        <f>I62/$I$3</f>
        <v>-7.9861965921778771E-2</v>
      </c>
    </row>
    <row r="63" spans="1:22" x14ac:dyDescent="0.3">
      <c r="A63" s="72" t="s">
        <v>101</v>
      </c>
      <c r="B63" s="71">
        <f>+[2]Historicals!B78</f>
        <v>4680</v>
      </c>
      <c r="C63" s="71">
        <f>+[2]Historicals!C78</f>
        <v>3096</v>
      </c>
      <c r="D63" s="71">
        <f>+[2]Historicals!D78</f>
        <v>3846</v>
      </c>
      <c r="E63" s="71">
        <f>+[2]Historicals!E78</f>
        <v>4955</v>
      </c>
      <c r="F63" s="71">
        <f>+[2]Historicals!F78</f>
        <v>5903</v>
      </c>
      <c r="G63" s="71">
        <f>+[2]Historicals!G78</f>
        <v>2485</v>
      </c>
      <c r="H63" s="71">
        <f>+[2]Historicals!H78</f>
        <v>6657</v>
      </c>
      <c r="I63" s="71">
        <f>+[2]Historicals!I78</f>
        <v>5188</v>
      </c>
      <c r="J63" s="87">
        <f>SUM(J61:J62)</f>
        <v>5361.7373501921675</v>
      </c>
      <c r="K63" s="71">
        <f>SUM(K61:K62)</f>
        <v>5738.1227408682635</v>
      </c>
      <c r="L63" s="71">
        <f>SUM(L61:L62)</f>
        <v>6148.4098322977079</v>
      </c>
      <c r="M63" s="71">
        <f>SUM(M61:M62)</f>
        <v>6596.7911355097167</v>
      </c>
      <c r="N63" s="71">
        <f>SUM(N61:N62)</f>
        <v>7087.8020424729884</v>
      </c>
      <c r="O63" s="64"/>
      <c r="P63" s="75"/>
    </row>
    <row r="64" spans="1:22" x14ac:dyDescent="0.3">
      <c r="A64" t="s">
        <v>100</v>
      </c>
      <c r="B64" s="19">
        <f>+[2]Historicals!B84+[2]Historicals!B85</f>
        <v>-960</v>
      </c>
      <c r="C64" s="19">
        <f>+[2]Historicals!C84+[2]Historicals!C85</f>
        <v>-1133</v>
      </c>
      <c r="D64" s="19">
        <f>+[2]Historicals!D84+[2]Historicals!D85</f>
        <v>-1092</v>
      </c>
      <c r="E64" s="19">
        <f>+[2]Historicals!E84+[2]Historicals!E85</f>
        <v>-1025</v>
      </c>
      <c r="F64" s="19">
        <f>+[2]Historicals!F84+[2]Historicals!F85</f>
        <v>-1114</v>
      </c>
      <c r="G64" s="19">
        <f>+[2]Historicals!G84+[2]Historicals!G85</f>
        <v>-1086</v>
      </c>
      <c r="H64" s="19">
        <f>+[2]Historicals!H84+[2]Historicals!H85</f>
        <v>-695</v>
      </c>
      <c r="I64" s="19">
        <f>+[2]Historicals!I84+[2]Historicals!I85</f>
        <v>-758</v>
      </c>
      <c r="J64" s="86">
        <f>$P$64*J3</f>
        <v>-783.38413867495433</v>
      </c>
      <c r="K64" s="95">
        <f>$P$64*K3</f>
        <v>-838.37645288707483</v>
      </c>
      <c r="L64" s="95">
        <f>$P$64*L3</f>
        <v>-898.32202252923344</v>
      </c>
      <c r="M64" s="95">
        <f>$P$64*M3</f>
        <v>-963.83340029228327</v>
      </c>
      <c r="N64" s="95">
        <f>$P$64*N3</f>
        <v>-1035.5732359665624</v>
      </c>
      <c r="O64" s="64">
        <f>_xlfn.RRI(8,B64,I64)</f>
        <v>-2.9099451195125581E-2</v>
      </c>
      <c r="P64" s="75">
        <f>I64/$I$3</f>
        <v>-1.6227788482123744E-2</v>
      </c>
    </row>
    <row r="65" spans="1:17" x14ac:dyDescent="0.3">
      <c r="A65" t="s">
        <v>99</v>
      </c>
      <c r="B65" s="19">
        <f>+[2]Historicals!B86+[2]Historicals!B83+[2]Historicals!B82+[2]Historicals!B81+[2]Historicals!B80</f>
        <v>785</v>
      </c>
      <c r="C65" s="19">
        <f>+[2]Historicals!C86+[2]Historicals!C83+[2]Historicals!C82+[2]Historicals!C81+[2]Historicals!C80</f>
        <v>99</v>
      </c>
      <c r="D65" s="19">
        <f>+[2]Historicals!D86+[2]Historicals!D83+[2]Historicals!D82+[2]Historicals!D81+[2]Historicals!D80</f>
        <v>84</v>
      </c>
      <c r="E65" s="19">
        <f>+[2]Historicals!E86+[2]Historicals!E83+[2]Historicals!E82+[2]Historicals!E81+[2]Historicals!E80</f>
        <v>1301</v>
      </c>
      <c r="F65" s="19">
        <f>+[2]Historicals!F86+[2]Historicals!F83+[2]Historicals!F82+[2]Historicals!F81+[2]Historicals!F80</f>
        <v>850</v>
      </c>
      <c r="G65" s="19">
        <f>+[2]Historicals!G86+[2]Historicals!G83+[2]Historicals!G82+[2]Historicals!G81+[2]Historicals!G80</f>
        <v>58</v>
      </c>
      <c r="H65" s="19">
        <f>+[2]Historicals!H86+[2]Historicals!H83+[2]Historicals!H82+[2]Historicals!H81+[2]Historicals!H80</f>
        <v>-3105</v>
      </c>
      <c r="I65" s="19">
        <f>+[2]Historicals!I86+[2]Historicals!I83+[2]Historicals!I82+[2]Historicals!I81+[2]Historicals!I80</f>
        <v>-766</v>
      </c>
      <c r="J65" s="86">
        <f>I36-J36</f>
        <v>-127.95883097229625</v>
      </c>
      <c r="K65" s="86">
        <f>J36-K36</f>
        <v>-277.21059710357758</v>
      </c>
      <c r="L65" s="86">
        <f>K36-L36</f>
        <v>-302.17944802465445</v>
      </c>
      <c r="M65" s="86">
        <f>L36-M36</f>
        <v>-330.23611402719507</v>
      </c>
      <c r="N65" s="86">
        <f>M36-N36</f>
        <v>-361.63312943459186</v>
      </c>
      <c r="O65" s="64">
        <f>(I65-B65)/-I65</f>
        <v>-2.024804177545692</v>
      </c>
      <c r="P65" s="75">
        <f>I65/$I$3</f>
        <v>-1.6399058017555129E-2</v>
      </c>
    </row>
    <row r="66" spans="1:17" x14ac:dyDescent="0.3">
      <c r="A66" s="72" t="s">
        <v>98</v>
      </c>
      <c r="B66" s="71">
        <f>+[2]Historicals!B87</f>
        <v>-175</v>
      </c>
      <c r="C66" s="71">
        <f>+[2]Historicals!C87</f>
        <v>-1034</v>
      </c>
      <c r="D66" s="71">
        <f>+[2]Historicals!D87</f>
        <v>-1008</v>
      </c>
      <c r="E66" s="71">
        <f>+[2]Historicals!E87</f>
        <v>276</v>
      </c>
      <c r="F66" s="71">
        <f>+[2]Historicals!F87</f>
        <v>-264</v>
      </c>
      <c r="G66" s="71">
        <f>+[2]Historicals!G87</f>
        <v>-1028</v>
      </c>
      <c r="H66" s="71">
        <f>+[2]Historicals!H87</f>
        <v>-3800</v>
      </c>
      <c r="I66" s="71">
        <f>+[2]Historicals!I87</f>
        <v>-1524</v>
      </c>
      <c r="J66" s="87">
        <f>SUM(J64:J65)</f>
        <v>-911.34296964725058</v>
      </c>
      <c r="K66" s="71">
        <f>SUM(K64:K65)</f>
        <v>-1115.5870499906523</v>
      </c>
      <c r="L66" s="71">
        <f>SUM(L64:L65)</f>
        <v>-1200.5014705538879</v>
      </c>
      <c r="M66" s="71">
        <f>SUM(M64:M65)</f>
        <v>-1294.0695143194785</v>
      </c>
      <c r="N66" s="71">
        <f>SUM(N64:N65)</f>
        <v>-1397.2063654011542</v>
      </c>
      <c r="O66" s="64"/>
      <c r="P66" s="75"/>
      <c r="Q66" s="94" t="s">
        <v>97</v>
      </c>
    </row>
    <row r="67" spans="1:17" x14ac:dyDescent="0.3">
      <c r="A67" t="s">
        <v>96</v>
      </c>
      <c r="B67" s="19">
        <f>[3]Historicals!B94</f>
        <v>-2534</v>
      </c>
      <c r="C67" s="19">
        <f>[3]Historicals!C94</f>
        <v>281</v>
      </c>
      <c r="D67" s="19">
        <f>[3]Historicals!D94</f>
        <v>-3223</v>
      </c>
      <c r="E67" s="19">
        <f>[3]Historicals!E94</f>
        <v>-4254</v>
      </c>
      <c r="F67" s="19">
        <f>[3]Historicals!F94</f>
        <v>-4286</v>
      </c>
      <c r="G67" s="19">
        <f>[3]Historicals!G94</f>
        <v>-3067</v>
      </c>
      <c r="H67" s="19">
        <f>[3]Historicals!H94</f>
        <v>-608</v>
      </c>
      <c r="I67" s="19">
        <f>[3]Historicals!I94</f>
        <v>-4014</v>
      </c>
      <c r="J67" s="89">
        <v>-4000</v>
      </c>
      <c r="K67" s="88">
        <v>-4000</v>
      </c>
      <c r="L67" s="88">
        <v>-4000</v>
      </c>
      <c r="M67" s="88">
        <v>-3000</v>
      </c>
      <c r="N67" s="88">
        <v>-3000</v>
      </c>
      <c r="O67" s="64"/>
      <c r="P67" s="93"/>
      <c r="Q67" s="9" t="s">
        <v>95</v>
      </c>
    </row>
    <row r="68" spans="1:17" x14ac:dyDescent="0.3">
      <c r="A68" s="92" t="s">
        <v>51</v>
      </c>
      <c r="B68" s="90" t="str">
        <f>+IFERROR(B67/A67-1,"nm")</f>
        <v>nm</v>
      </c>
      <c r="C68" s="90">
        <f>+IFERROR(C67/B67-1,"nm")</f>
        <v>-1.1108918705603787</v>
      </c>
      <c r="D68" s="90">
        <f>+IFERROR(D67/C67-1,"nm")</f>
        <v>-12.469750889679716</v>
      </c>
      <c r="E68" s="90">
        <f>+IFERROR(E67/D67-1,"nm")</f>
        <v>0.31988830282345648</v>
      </c>
      <c r="F68" s="90">
        <f>+IFERROR(F67/E67-1,"nm")</f>
        <v>7.5223319228960861E-3</v>
      </c>
      <c r="G68" s="90">
        <f>+IFERROR(G67/F67-1,"nm")</f>
        <v>-0.28441437237517497</v>
      </c>
      <c r="H68" s="90">
        <f>+IFERROR(H67/G67-1,"nm")</f>
        <v>-0.80176067818715357</v>
      </c>
      <c r="I68" s="90">
        <f>+IFERROR(I67/H67-1,"nm")</f>
        <v>5.6019736842105265</v>
      </c>
      <c r="J68" s="91">
        <f>+IFERROR(J67/I67-1,"nm")</f>
        <v>-3.4877927254608476E-3</v>
      </c>
      <c r="K68" s="90">
        <f>+IFERROR(K67/J67-1,"nm")</f>
        <v>0</v>
      </c>
      <c r="L68" s="90">
        <f>+IFERROR(L67/K67-1,"nm")</f>
        <v>0</v>
      </c>
      <c r="M68" s="90">
        <f>+IFERROR(M67/L67-1,"nm")</f>
        <v>-0.25</v>
      </c>
      <c r="N68" s="90">
        <f>+IFERROR(N67/M67-1,"nm")</f>
        <v>0</v>
      </c>
      <c r="O68" s="64"/>
      <c r="P68" s="75"/>
    </row>
    <row r="69" spans="1:17" x14ac:dyDescent="0.3">
      <c r="A69" t="s">
        <v>94</v>
      </c>
      <c r="B69" s="19">
        <f>+[2]Historicals!B95</f>
        <v>-899</v>
      </c>
      <c r="C69" s="19">
        <f>+[2]Historicals!C95</f>
        <v>-3238</v>
      </c>
      <c r="D69" s="19">
        <f>+[2]Historicals!D95</f>
        <v>-1133</v>
      </c>
      <c r="E69" s="19">
        <f>+[2]Historicals!E95</f>
        <v>-1243</v>
      </c>
      <c r="F69" s="19">
        <f>+[2]Historicals!F95</f>
        <v>-1332</v>
      </c>
      <c r="G69" s="19">
        <f>+[2]Historicals!G95</f>
        <v>-1452</v>
      </c>
      <c r="H69" s="19">
        <f>+[2]Historicals!H95</f>
        <v>-1638</v>
      </c>
      <c r="I69" s="19">
        <f>+[2]Historicals!I95</f>
        <v>-1837</v>
      </c>
      <c r="J69" s="86">
        <f>-(J20*J17)</f>
        <v>-1990.2989613800582</v>
      </c>
      <c r="K69" s="85">
        <f>-(K20*K17)</f>
        <v>-2159.8444876053081</v>
      </c>
      <c r="L69" s="85">
        <f>-(L20*L17)</f>
        <v>-2347.3464889749825</v>
      </c>
      <c r="M69" s="85">
        <f>-(M20*M17)</f>
        <v>-2564.6316525739894</v>
      </c>
      <c r="N69" s="85">
        <f>-(N20*N17)</f>
        <v>-2804.8709214257647</v>
      </c>
      <c r="O69" s="64">
        <f>_xlfn.RRI(8,B69,I69)</f>
        <v>9.3436792287096226E-2</v>
      </c>
      <c r="P69" s="75">
        <f>I69/$I$3</f>
        <v>-3.9327767073431816E-2</v>
      </c>
      <c r="Q69" s="9"/>
    </row>
    <row r="70" spans="1:17" x14ac:dyDescent="0.3">
      <c r="A70" t="s">
        <v>93</v>
      </c>
      <c r="B70" s="19">
        <f>+[2]Historicals!B89+[2]Historicals!B91</f>
        <v>-7</v>
      </c>
      <c r="C70" s="19">
        <f>+[2]Historicals!C89+[2]Historicals!C91</f>
        <v>914</v>
      </c>
      <c r="D70" s="19">
        <f>+[2]Historicals!D89+[2]Historicals!D91</f>
        <v>1438</v>
      </c>
      <c r="E70" s="19">
        <f>+[2]Historicals!E89+[2]Historicals!E91</f>
        <v>-6</v>
      </c>
      <c r="F70" s="19">
        <f>+[2]Historicals!F89+[2]Historicals!F91</f>
        <v>-6</v>
      </c>
      <c r="G70" s="19">
        <f>+[2]Historicals!G89+[2]Historicals!G91</f>
        <v>6134</v>
      </c>
      <c r="H70" s="19">
        <f>+[2]Historicals!H89+[2]Historicals!H91</f>
        <v>-197</v>
      </c>
      <c r="I70" s="19">
        <f>+[2]Historicals!I89+[2]Historicals!I91</f>
        <v>0</v>
      </c>
      <c r="J70" s="89">
        <f>$P$70*J3</f>
        <v>0</v>
      </c>
      <c r="K70" s="88">
        <v>2000</v>
      </c>
      <c r="L70" s="88">
        <v>-1000</v>
      </c>
      <c r="M70" s="88">
        <v>-1000</v>
      </c>
      <c r="N70" s="88">
        <v>0</v>
      </c>
      <c r="O70" s="64"/>
      <c r="P70" s="75"/>
      <c r="Q70" s="9" t="s">
        <v>92</v>
      </c>
    </row>
    <row r="71" spans="1:17" x14ac:dyDescent="0.3">
      <c r="A71" t="s">
        <v>91</v>
      </c>
      <c r="B71" s="19">
        <f>+[2]Historicals!B90+[2]Historicals!B93+[2]Historicals!B96</f>
        <v>136</v>
      </c>
      <c r="C71" s="19">
        <f>+[2]Historicals!C90+[2]Historicals!C93+[2]Historicals!C96</f>
        <v>-621</v>
      </c>
      <c r="D71" s="19">
        <f>+[2]Historicals!D90+[2]Historicals!D93+[2]Historicals!D96</f>
        <v>787</v>
      </c>
      <c r="E71" s="19">
        <f>+[2]Historicals!E90+[2]Historicals!E93+[2]Historicals!E96</f>
        <v>691</v>
      </c>
      <c r="F71" s="19">
        <f>+[2]Historicals!F90+[2]Historicals!F93+[2]Historicals!F96</f>
        <v>358</v>
      </c>
      <c r="G71" s="19">
        <f>+[2]Historicals!G90+[2]Historicals!G93+[2]Historicals!G96</f>
        <v>-9</v>
      </c>
      <c r="H71" s="19">
        <f>+[2]Historicals!H90+[2]Historicals!H93+[2]Historicals!H96</f>
        <v>-188</v>
      </c>
      <c r="I71" s="19">
        <f>+[2]Historicals!I90+[2]Historicals!I93+[2]Historicals!I96</f>
        <v>-136</v>
      </c>
      <c r="J71" s="86">
        <f>$P$71*J3</f>
        <v>-140.55441010526883</v>
      </c>
      <c r="K71" s="85">
        <f>$P$71*K3</f>
        <v>-150.42110500348568</v>
      </c>
      <c r="L71" s="85">
        <f>$P$71*L3</f>
        <v>-161.17651063849041</v>
      </c>
      <c r="M71" s="85">
        <f>$P$71*M3</f>
        <v>-172.9305309231537</v>
      </c>
      <c r="N71" s="85">
        <f>$P$71*N3</f>
        <v>-185.80205816814311</v>
      </c>
      <c r="O71" s="64">
        <f>(I71-B71)/-I71</f>
        <v>-2</v>
      </c>
      <c r="P71" s="75">
        <f>I71/$I$3</f>
        <v>-2.9115821023335473E-3</v>
      </c>
    </row>
    <row r="72" spans="1:17" x14ac:dyDescent="0.3">
      <c r="A72" s="72" t="s">
        <v>90</v>
      </c>
      <c r="B72" s="71">
        <f>+[2]Historicals!B97</f>
        <v>-2790</v>
      </c>
      <c r="C72" s="71">
        <f>+[2]Historicals!C97</f>
        <v>-2671</v>
      </c>
      <c r="D72" s="71">
        <f>+[2]Historicals!D97</f>
        <v>-2148</v>
      </c>
      <c r="E72" s="71">
        <f>+[2]Historicals!E97</f>
        <v>-4835</v>
      </c>
      <c r="F72" s="71">
        <f>+[2]Historicals!F97</f>
        <v>-5293</v>
      </c>
      <c r="G72" s="71">
        <f>+[2]Historicals!G97</f>
        <v>2491</v>
      </c>
      <c r="H72" s="71">
        <f>+[2]Historicals!H97</f>
        <v>-1459</v>
      </c>
      <c r="I72" s="71">
        <f>+[2]Historicals!I97</f>
        <v>-4836</v>
      </c>
      <c r="J72" s="87">
        <f>SUM(J67:J71)</f>
        <v>-6130.856859278053</v>
      </c>
      <c r="K72" s="71">
        <f>SUM(K67:K71)</f>
        <v>-4310.2655926087937</v>
      </c>
      <c r="L72" s="71">
        <f>SUM(L67:L71)</f>
        <v>-7508.5229996134731</v>
      </c>
      <c r="M72" s="71">
        <f>SUM(M67:M71)</f>
        <v>-6737.8121834971435</v>
      </c>
      <c r="N72" s="71">
        <f>SUM(N67:N71)</f>
        <v>-5990.6729795939082</v>
      </c>
      <c r="O72" s="64">
        <f>(I72-B72)/-I72</f>
        <v>-0.42307692307692307</v>
      </c>
      <c r="P72" s="75">
        <f>I72/$I$3</f>
        <v>-0.10353243416827232</v>
      </c>
    </row>
    <row r="73" spans="1:17" x14ac:dyDescent="0.3">
      <c r="A73" t="s">
        <v>89</v>
      </c>
      <c r="B73" s="19">
        <f>+[2]Historicals!B98</f>
        <v>-83</v>
      </c>
      <c r="C73" s="19">
        <f>+[2]Historicals!C98</f>
        <v>-105</v>
      </c>
      <c r="D73" s="19">
        <f>+[2]Historicals!D98</f>
        <v>-20</v>
      </c>
      <c r="E73" s="19">
        <f>+[2]Historicals!E98</f>
        <v>45</v>
      </c>
      <c r="F73" s="19">
        <f>+[2]Historicals!F98</f>
        <v>-129</v>
      </c>
      <c r="G73" s="19">
        <f>+[2]Historicals!G98</f>
        <v>-66</v>
      </c>
      <c r="H73" s="19">
        <f>+[2]Historicals!H98</f>
        <v>143</v>
      </c>
      <c r="I73" s="19">
        <f>+[2]Historicals!I98</f>
        <v>-143</v>
      </c>
      <c r="J73" s="86">
        <f>$P$73*J3</f>
        <v>-147.78882827245181</v>
      </c>
      <c r="K73" s="85">
        <f>$P$73*K3</f>
        <v>-158.16336776101807</v>
      </c>
      <c r="L73" s="85">
        <f>$P$73*L3</f>
        <v>-169.47236045076565</v>
      </c>
      <c r="M73" s="85">
        <f>$P$73*M3</f>
        <v>-181.83136707361015</v>
      </c>
      <c r="N73" s="85">
        <f>$P$73*N3</f>
        <v>-195.36539939738577</v>
      </c>
      <c r="O73" s="64">
        <f>_xlfn.RRI(8,B73,I73)</f>
        <v>7.0365846667057363E-2</v>
      </c>
      <c r="P73" s="75">
        <f>I73/$I$3</f>
        <v>-3.0614429458360095E-3</v>
      </c>
      <c r="Q73" s="9" t="s">
        <v>88</v>
      </c>
    </row>
    <row r="74" spans="1:17" x14ac:dyDescent="0.3">
      <c r="A74" s="72" t="s">
        <v>87</v>
      </c>
      <c r="B74" s="71">
        <f>+[2]Historicals!B99</f>
        <v>1632</v>
      </c>
      <c r="C74" s="71">
        <f>+[2]Historicals!C99</f>
        <v>-714</v>
      </c>
      <c r="D74" s="71">
        <f>+[2]Historicals!D99</f>
        <v>670</v>
      </c>
      <c r="E74" s="71">
        <f>+[2]Historicals!E99</f>
        <v>441</v>
      </c>
      <c r="F74" s="71">
        <f>+[2]Historicals!F99</f>
        <v>217</v>
      </c>
      <c r="G74" s="71">
        <f>+[2]Historicals!G99</f>
        <v>3882</v>
      </c>
      <c r="H74" s="71">
        <f>+[2]Historicals!H99</f>
        <v>1541</v>
      </c>
      <c r="I74" s="71">
        <f>+[2]Historicals!I99</f>
        <v>-1315</v>
      </c>
      <c r="J74" s="84">
        <f>SUM(J63,J66,J72,J73)</f>
        <v>-1828.2513070055877</v>
      </c>
      <c r="K74" s="83">
        <f>SUM(K63,K66,K72,K73)</f>
        <v>154.10673050779943</v>
      </c>
      <c r="L74" s="83">
        <f>SUM(L63,L66,L72,L73)</f>
        <v>-2730.0869983204188</v>
      </c>
      <c r="M74" s="83">
        <f>SUM(M63,M66,M72,M73)</f>
        <v>-1616.9219293805158</v>
      </c>
      <c r="N74" s="83">
        <f>SUM(N63,N66,N72,N73)</f>
        <v>-495.44270191945998</v>
      </c>
      <c r="O74" s="64"/>
      <c r="P74" s="75"/>
    </row>
    <row r="75" spans="1:17" x14ac:dyDescent="0.3">
      <c r="A75" t="s">
        <v>86</v>
      </c>
      <c r="B75" s="19">
        <f>+[2]Historicals!B100</f>
        <v>2220</v>
      </c>
      <c r="C75" s="19">
        <f>+[2]Historicals!C100</f>
        <v>3852</v>
      </c>
      <c r="D75" s="19">
        <f>+[2]Historicals!D100</f>
        <v>3138</v>
      </c>
      <c r="E75" s="19">
        <f>+[2]Historicals!E100</f>
        <v>3808</v>
      </c>
      <c r="F75" s="19">
        <f>+[2]Historicals!F100</f>
        <v>4249</v>
      </c>
      <c r="G75" s="19">
        <f>+[2]Historicals!G100</f>
        <v>4466</v>
      </c>
      <c r="H75" s="19">
        <f>+[2]Historicals!H100</f>
        <v>8348</v>
      </c>
      <c r="I75" s="19">
        <f>+[2]Historicals!I100</f>
        <v>9889</v>
      </c>
      <c r="J75" s="82">
        <f>I76</f>
        <v>8574</v>
      </c>
      <c r="K75" s="19">
        <f>J76</f>
        <v>6745.7486929944125</v>
      </c>
      <c r="L75" s="19">
        <f>K76</f>
        <v>6899.855423502212</v>
      </c>
      <c r="M75" s="19">
        <f>L76</f>
        <v>4169.7684251817936</v>
      </c>
      <c r="N75" s="19">
        <f>M76</f>
        <v>2552.8464958012778</v>
      </c>
      <c r="O75" s="64">
        <f>_xlfn.RRI(8,B75,I75)</f>
        <v>0.20531323479494157</v>
      </c>
      <c r="P75" s="75">
        <f>I75/$I$3</f>
        <v>0.21171055448512097</v>
      </c>
    </row>
    <row r="76" spans="1:17" ht="15" thickBot="1" x14ac:dyDescent="0.35">
      <c r="A76" s="66" t="s">
        <v>85</v>
      </c>
      <c r="B76" s="65">
        <f>B75+B74</f>
        <v>3852</v>
      </c>
      <c r="C76" s="65">
        <f>C75+C74</f>
        <v>3138</v>
      </c>
      <c r="D76" s="65">
        <f>D75+D74</f>
        <v>3808</v>
      </c>
      <c r="E76" s="65">
        <f>E75+E74</f>
        <v>4249</v>
      </c>
      <c r="F76" s="65">
        <f>F75+F74</f>
        <v>4466</v>
      </c>
      <c r="G76" s="65">
        <f>G75+G74</f>
        <v>8348</v>
      </c>
      <c r="H76" s="65">
        <f>H75+H74</f>
        <v>9889</v>
      </c>
      <c r="I76" s="65">
        <f>I75+I74</f>
        <v>8574</v>
      </c>
      <c r="J76" s="81">
        <f>J75+J74</f>
        <v>6745.7486929944125</v>
      </c>
      <c r="K76" s="65">
        <f>K75+K74</f>
        <v>6899.855423502212</v>
      </c>
      <c r="L76" s="65">
        <f>L75+L74</f>
        <v>4169.7684251817936</v>
      </c>
      <c r="M76" s="65">
        <f>M75+M74</f>
        <v>2552.8464958012778</v>
      </c>
      <c r="N76" s="65">
        <f>N75+N74</f>
        <v>2057.4037938818178</v>
      </c>
      <c r="O76" s="64">
        <f>_xlfn.RRI(8,B76,I76)</f>
        <v>0.10519051765993548</v>
      </c>
      <c r="P76" s="75">
        <f>I76/$I$3</f>
        <v>0.18355812459858703</v>
      </c>
    </row>
    <row r="77" spans="1:17" ht="15" thickTop="1" x14ac:dyDescent="0.3">
      <c r="A77" s="69" t="s">
        <v>84</v>
      </c>
      <c r="B77" s="79">
        <f>SUM(B39:B45)-(B25)</f>
        <v>5038</v>
      </c>
      <c r="C77" s="79">
        <f>SUM(C39:C45)-C25</f>
        <v>6000</v>
      </c>
      <c r="D77" s="79">
        <f>SUM(D39:D45)-D25</f>
        <v>7044</v>
      </c>
      <c r="E77" s="79">
        <f>SUM(E39:E45)-E25</f>
        <v>8475</v>
      </c>
      <c r="F77" s="79">
        <f>SUM(F39:F45)-F25</f>
        <v>10211</v>
      </c>
      <c r="G77" s="79">
        <f>SUM(G39:G45)-G25</f>
        <v>14939</v>
      </c>
      <c r="H77" s="79">
        <f>SUM(H39:H45)-H25</f>
        <v>15084</v>
      </c>
      <c r="I77" s="79">
        <f>SUM(I39:I45)-I25</f>
        <v>16466</v>
      </c>
      <c r="J77" s="80">
        <f>SUM(J39:J45)-J25</f>
        <v>19251.108168158455</v>
      </c>
      <c r="K77" s="79">
        <f>SUM(K39:K45)-K25</f>
        <v>21373.47229061733</v>
      </c>
      <c r="L77" s="79">
        <f>SUM(L39:L45)-L25</f>
        <v>26047.507831113653</v>
      </c>
      <c r="M77" s="79">
        <f>SUM(M39:M45)-M25</f>
        <v>29806.765483481555</v>
      </c>
      <c r="N77" s="79">
        <f>SUM(N39:N45)-N25</f>
        <v>31630.927791461076</v>
      </c>
      <c r="O77" s="64">
        <f>_xlfn.RRI(8,B77,I77)</f>
        <v>0.15955470783954406</v>
      </c>
      <c r="P77" s="75">
        <f>I77/$I$3</f>
        <v>0.35251552130164848</v>
      </c>
    </row>
    <row r="79" spans="1:17" x14ac:dyDescent="0.3">
      <c r="A79" s="69" t="s">
        <v>64</v>
      </c>
      <c r="B79" s="78">
        <v>49.87</v>
      </c>
      <c r="C79" s="78">
        <v>51.4</v>
      </c>
      <c r="D79" s="78">
        <v>51.57</v>
      </c>
      <c r="E79" s="78">
        <v>68.37</v>
      </c>
      <c r="F79" s="78">
        <v>82.19</v>
      </c>
      <c r="G79" s="78">
        <v>101.95</v>
      </c>
      <c r="H79" s="78">
        <v>145.4</v>
      </c>
      <c r="I79" s="77">
        <v>113.52</v>
      </c>
      <c r="J79" s="77">
        <f>I79*(1+$O$79)</f>
        <v>125.81328709974136</v>
      </c>
      <c r="K79" s="77">
        <f>J79*(1+$O$79)</f>
        <v>139.43783660008762</v>
      </c>
      <c r="L79" s="77">
        <f>K79*(1+$O$79)</f>
        <v>154.53781332570162</v>
      </c>
      <c r="M79" s="77">
        <f>L79*(1+$O$79)</f>
        <v>171.2729939720995</v>
      </c>
      <c r="N79" s="77">
        <f>M79*(1+$O$79)</f>
        <v>189.82045774351678</v>
      </c>
      <c r="O79" s="76">
        <f>_xlfn.RRI(8,B79,I79)</f>
        <v>0.10829181729863779</v>
      </c>
      <c r="P79" s="75">
        <f>I79/$I$3</f>
        <v>2.4303147077713552E-3</v>
      </c>
      <c r="Q79" s="9" t="s">
        <v>83</v>
      </c>
    </row>
    <row r="80" spans="1:17" x14ac:dyDescent="0.3">
      <c r="Q80" s="9" t="s">
        <v>82</v>
      </c>
    </row>
  </sheetData>
  <mergeCells count="1">
    <mergeCell ref="O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90F3F-C1FC-450A-AF39-945B78CAECF4}">
  <dimension ref="A1:W43"/>
  <sheetViews>
    <sheetView workbookViewId="0">
      <pane ySplit="1" topLeftCell="A2" activePane="bottomLeft" state="frozen"/>
      <selection pane="bottomLeft" activeCell="J6" sqref="J6"/>
    </sheetView>
  </sheetViews>
  <sheetFormatPr defaultRowHeight="14.4" x14ac:dyDescent="0.3"/>
  <cols>
    <col min="1" max="1" width="45.5546875" customWidth="1"/>
    <col min="2" max="2" width="11.88671875" customWidth="1"/>
    <col min="3" max="8" width="10.5546875" customWidth="1"/>
    <col min="9" max="9" width="9.33203125" customWidth="1"/>
    <col min="10" max="10" width="8.6640625" bestFit="1" customWidth="1"/>
    <col min="11" max="14" width="10.5546875" bestFit="1" customWidth="1"/>
    <col min="15" max="15" width="8.6640625" bestFit="1" customWidth="1"/>
    <col min="20" max="20" width="8.77734375" customWidth="1"/>
    <col min="21" max="21" width="9.6640625" bestFit="1" customWidth="1"/>
    <col min="22" max="22" width="54.21875" customWidth="1"/>
    <col min="23" max="23" width="20.88671875" customWidth="1"/>
  </cols>
  <sheetData>
    <row r="1" spans="1:23" ht="60" customHeight="1" x14ac:dyDescent="0.3">
      <c r="A1" s="62" t="s">
        <v>69</v>
      </c>
      <c r="B1" s="61">
        <v>2015</v>
      </c>
      <c r="C1" s="61">
        <f>+B1+1</f>
        <v>2016</v>
      </c>
      <c r="D1" s="61">
        <f>+C1+1</f>
        <v>2017</v>
      </c>
      <c r="E1" s="61">
        <f>+D1+1</f>
        <v>2018</v>
      </c>
      <c r="F1" s="61">
        <f>+E1+1</f>
        <v>2019</v>
      </c>
      <c r="G1" s="61">
        <f>+F1+1</f>
        <v>2020</v>
      </c>
      <c r="H1" s="61">
        <f>+G1+1</f>
        <v>2021</v>
      </c>
      <c r="I1" s="61">
        <f>+H1+1</f>
        <v>2022</v>
      </c>
      <c r="J1" s="60">
        <f>+I1+1</f>
        <v>2023</v>
      </c>
      <c r="K1" s="60">
        <f>+J1+1</f>
        <v>2024</v>
      </c>
      <c r="L1" s="60">
        <f>+K1+1</f>
        <v>2025</v>
      </c>
      <c r="M1" s="60">
        <f>+L1+1</f>
        <v>2026</v>
      </c>
      <c r="N1" s="60">
        <f>+M1+1</f>
        <v>2027</v>
      </c>
      <c r="O1" s="60">
        <f>+N1+1</f>
        <v>2028</v>
      </c>
      <c r="P1" s="60">
        <f>+O1+1</f>
        <v>2029</v>
      </c>
      <c r="Q1" s="60">
        <f>+P1+1</f>
        <v>2030</v>
      </c>
      <c r="R1" s="60">
        <f>+Q1+1</f>
        <v>2031</v>
      </c>
      <c r="S1" s="60">
        <f>+R1+1</f>
        <v>2032</v>
      </c>
      <c r="T1" s="59" t="s">
        <v>68</v>
      </c>
      <c r="U1" s="58" t="s">
        <v>67</v>
      </c>
      <c r="V1" s="57" t="s">
        <v>66</v>
      </c>
    </row>
    <row r="2" spans="1:23" x14ac:dyDescent="0.3">
      <c r="A2" s="56" t="s">
        <v>65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  <c r="O2" s="54"/>
      <c r="P2" s="54"/>
      <c r="Q2" s="54"/>
      <c r="R2" s="54"/>
      <c r="S2" s="54"/>
      <c r="T2" s="54"/>
      <c r="U2" s="53"/>
      <c r="V2" s="52"/>
    </row>
    <row r="3" spans="1:23" x14ac:dyDescent="0.3">
      <c r="A3" t="s">
        <v>64</v>
      </c>
      <c r="B3" s="12">
        <f>+'[1]Three Statements'!B79</f>
        <v>49.87</v>
      </c>
      <c r="C3" s="12">
        <f>+'[1]Three Statements'!C79</f>
        <v>51.4</v>
      </c>
      <c r="D3" s="12">
        <f>+'[1]Three Statements'!D79</f>
        <v>51.57</v>
      </c>
      <c r="E3" s="12">
        <f>+'[1]Three Statements'!E79</f>
        <v>68.37</v>
      </c>
      <c r="F3" s="12">
        <f>+'[1]Three Statements'!F79</f>
        <v>82.19</v>
      </c>
      <c r="G3" s="12">
        <f>+'[1]Three Statements'!G79</f>
        <v>101.95</v>
      </c>
      <c r="H3" s="12">
        <f>+'[1]Three Statements'!H79</f>
        <v>145.4</v>
      </c>
      <c r="I3" s="12">
        <f>+'[1]Three Statements'!I79</f>
        <v>113.52</v>
      </c>
      <c r="J3" s="12">
        <f>+'[1]Three Statements'!J79</f>
        <v>125.81328709974136</v>
      </c>
      <c r="K3" s="12">
        <f>+'[1]Three Statements'!K79</f>
        <v>139.43783660008762</v>
      </c>
      <c r="L3" s="12">
        <f>+'[1]Three Statements'!L79</f>
        <v>154.53781332570162</v>
      </c>
      <c r="M3" s="12">
        <f>+'[1]Three Statements'!M79</f>
        <v>171.2729939720995</v>
      </c>
      <c r="N3" s="12">
        <f>+'[1]Three Statements'!N79</f>
        <v>189.82045774351678</v>
      </c>
      <c r="O3" s="12">
        <f>N3*(1+$U$3)</f>
        <v>193.61686689838712</v>
      </c>
      <c r="P3" s="12">
        <f>O3*(1+$U$3)</f>
        <v>197.48920423635485</v>
      </c>
      <c r="Q3" s="12">
        <f>P3*(1+$U$3)</f>
        <v>201.43898832108195</v>
      </c>
      <c r="R3" s="12">
        <f>Q3*(1+$U$3)</f>
        <v>205.4677680875036</v>
      </c>
      <c r="S3" s="12">
        <f>R3*(1+$U$3)</f>
        <v>209.57712344925366</v>
      </c>
      <c r="T3" s="12">
        <f>S3*(1+$U$3)</f>
        <v>213.76866591823875</v>
      </c>
      <c r="U3" s="43">
        <f>$B$35</f>
        <v>0.02</v>
      </c>
      <c r="V3" s="42" t="s">
        <v>63</v>
      </c>
    </row>
    <row r="4" spans="1:23" x14ac:dyDescent="0.3">
      <c r="A4" t="s">
        <v>62</v>
      </c>
      <c r="B4" s="19">
        <f>('[1]Three Statements'!B17*Schedules!B3)+'[1]Three Statements'!B39+'[1]Three Statements'!B40+'[1]Three Statements'!B43-'[1]Three Statements'!B25</f>
        <v>41513.027999999998</v>
      </c>
      <c r="C4" s="19">
        <f>('[1]Three Statements'!C17*Schedules!C3)+'[1]Three Statements'!C39+'[1]Three Statements'!C40+'[1]Three Statements'!C43-'[1]Three Statements'!C25</f>
        <v>88481.5</v>
      </c>
      <c r="D4" s="19">
        <f>('[1]Three Statements'!D17*Schedules!D3)+'[1]Three Statements'!D39+'[1]Three Statements'!D40+'[1]Three Statements'!D43-'[1]Three Statements'!D25</f>
        <v>87250.44</v>
      </c>
      <c r="E4" s="19">
        <f>('[1]Three Statements'!E17*Schedules!E3)+'[1]Three Statements'!E39+'[1]Three Statements'!E40+'[1]Three Statements'!E43-'[1]Three Statements'!E25</f>
        <v>112993.667</v>
      </c>
      <c r="F4" s="19">
        <f>('[1]Three Statements'!F17*Schedules!F3)+'[1]Three Statements'!F39+'[1]Three Statements'!F40+'[1]Three Statements'!F43-'[1]Three Statements'!F25</f>
        <v>132029.296</v>
      </c>
      <c r="G4" s="19">
        <f>('[1]Three Statements'!G17*Schedules!G3)+'[1]Three Statements'!G39+'[1]Three Statements'!G40+'[1]Three Statements'!G43-'[1]Three Statements'!G25</f>
        <v>163572.62</v>
      </c>
      <c r="H4" s="19">
        <f>('[1]Three Statements'!H17*Schedules!H3)+'[1]Three Statements'!H39+'[1]Three Statements'!H40+'[1]Three Statements'!H43-'[1]Three Statements'!H25</f>
        <v>233532.76</v>
      </c>
      <c r="I4" s="19">
        <f>('[1]Three Statements'!I17*Schedules!I3)+'[1]Three Statements'!I39+'[1]Three Statements'!I40+'[1]Three Statements'!I43-'[1]Three Statements'!I25</f>
        <v>183714.01599999997</v>
      </c>
      <c r="J4" s="19">
        <f>('[1]Three Statements'!J17*Schedules!J3)+'[1]Three Statements'!J39+'[1]Three Statements'!J40+'[1]Three Statements'!J43-'[1]Three Statements'!J25</f>
        <v>201143.34477197524</v>
      </c>
      <c r="K4" s="19">
        <f>('[1]Three Statements'!K17*Schedules!K3)+'[1]Three Statements'!K39+'[1]Three Statements'!K40+'[1]Three Statements'!K43-'[1]Three Statements'!K25</f>
        <v>220150.35970626207</v>
      </c>
      <c r="L4" s="19">
        <f>('[1]Three Statements'!L17*Schedules!L3)+'[1]Three Statements'!L39+'[1]Three Statements'!L40+'[1]Three Statements'!L43-'[1]Three Statements'!L25</f>
        <v>242996.46511915905</v>
      </c>
      <c r="M4" s="19">
        <f>('[1]Three Statements'!M17*Schedules!M3)+'[1]Three Statements'!M39+'[1]Three Statements'!M40+'[1]Three Statements'!M43-'[1]Three Statements'!M25</f>
        <v>267896.8987245803</v>
      </c>
      <c r="N4" s="19">
        <f>('[1]Three Statements'!N17*Schedules!N3)+'[1]Three Statements'!N39+'[1]Three Statements'!N40+'[1]Three Statements'!N43-'[1]Three Statements'!N25</f>
        <v>293187.06586338731</v>
      </c>
      <c r="O4" s="22">
        <f>N4*(1+$U$4)</f>
        <v>299050.80718065507</v>
      </c>
      <c r="P4" s="22">
        <f>O4*(1+$U$4)</f>
        <v>305031.82332426816</v>
      </c>
      <c r="Q4" s="22">
        <f>P4*(1+$U$4)</f>
        <v>311132.45979075355</v>
      </c>
      <c r="R4" s="22">
        <f>Q4*(1+$U$4)</f>
        <v>317355.10898656864</v>
      </c>
      <c r="S4" s="22">
        <f>R4*(1+$U$4)</f>
        <v>323702.2111663</v>
      </c>
      <c r="T4" s="22">
        <f>S4*(1+$U$4)</f>
        <v>330176.25538962602</v>
      </c>
      <c r="U4" s="43">
        <f>$B$35</f>
        <v>0.02</v>
      </c>
      <c r="V4" s="50" t="s">
        <v>61</v>
      </c>
      <c r="W4" s="48"/>
    </row>
    <row r="5" spans="1:23" x14ac:dyDescent="0.3">
      <c r="A5" t="s">
        <v>60</v>
      </c>
      <c r="B5" s="12">
        <f>+'[1]Three Statements'!B16/'[1]Three Statements'!B17</f>
        <v>3.7008141112618724</v>
      </c>
      <c r="C5" s="12">
        <f>+'[1]Three Statements'!C16/'[1]Three Statements'!C17</f>
        <v>2.1578192252510759</v>
      </c>
      <c r="D5" s="12">
        <f>+'[1]Three Statements'!D16/'[1]Three Statements'!D17</f>
        <v>2.5059101654846336</v>
      </c>
      <c r="E5" s="12">
        <f>+'[1]Three Statements'!E16/'[1]Three Statements'!E17</f>
        <v>1.1650895063588693</v>
      </c>
      <c r="F5" s="12">
        <f>+'[1]Three Statements'!F16/'[1]Three Statements'!F17</f>
        <v>2.4894957983193278</v>
      </c>
      <c r="G5" s="12">
        <f>+'[1]Three Statements'!G16/'[1]Three Statements'!G17</f>
        <v>1.5952500628298569</v>
      </c>
      <c r="H5" s="12">
        <f>+'[1]Three Statements'!H16/'[1]Three Statements'!H17</f>
        <v>3.5584689946563937</v>
      </c>
      <c r="I5" s="12">
        <f>+'[1]Three Statements'!I16/'[1]Three Statements'!I17</f>
        <v>3.7534144524459898</v>
      </c>
      <c r="J5" s="12">
        <f>+'[1]Three Statements'!J16/'[1]Three Statements'!J17</f>
        <v>4.1227681549811583</v>
      </c>
      <c r="K5" s="12">
        <f>+'[1]Three Statements'!K16/'[1]Three Statements'!K17</f>
        <v>4.5231366801783022</v>
      </c>
      <c r="L5" s="12">
        <f>+'[1]Three Statements'!L16/'[1]Three Statements'!L17</f>
        <v>4.9784519549921447</v>
      </c>
      <c r="M5" s="12">
        <f>+'[1]Three Statements'!M16/'[1]Three Statements'!M17</f>
        <v>5.4756348495207501</v>
      </c>
      <c r="N5" s="12">
        <f>+'[1]Three Statements'!N16/'[1]Three Statements'!N17</f>
        <v>6.0426110304858911</v>
      </c>
      <c r="O5" s="51">
        <f>N5*(1+$U$5)</f>
        <v>6.0532804513563958</v>
      </c>
      <c r="P5" s="51">
        <f>O5*(1+$U$5)</f>
        <v>6.0639687111925626</v>
      </c>
      <c r="Q5" s="51">
        <f>P5*(1+$U$5)</f>
        <v>6.0746758432582988</v>
      </c>
      <c r="R5" s="51">
        <f>Q5*(1+$U$5)</f>
        <v>6.0854018808762449</v>
      </c>
      <c r="S5" s="51">
        <f>R5*(1+$U$5)</f>
        <v>6.0961468574278808</v>
      </c>
      <c r="T5" s="51">
        <f>S5*(1+$U$5)</f>
        <v>6.1069108063536266</v>
      </c>
      <c r="U5" s="43">
        <f>_xlfn.RRI(8,B5,I5)</f>
        <v>1.7656971161432722E-3</v>
      </c>
      <c r="V5" s="50" t="s">
        <v>59</v>
      </c>
      <c r="W5" s="48"/>
    </row>
    <row r="6" spans="1:23" x14ac:dyDescent="0.3">
      <c r="A6" t="s">
        <v>2</v>
      </c>
      <c r="B6" s="47">
        <f>B3/B5</f>
        <v>13.475413382218148</v>
      </c>
      <c r="C6" s="47">
        <f>C3/C5</f>
        <v>23.82034574468085</v>
      </c>
      <c r="D6" s="47">
        <f>D3/D5</f>
        <v>20.579349056603775</v>
      </c>
      <c r="E6" s="47">
        <f>E3/E5</f>
        <v>58.682186756337302</v>
      </c>
      <c r="F6" s="47">
        <f>F3/F5</f>
        <v>33.014717299578059</v>
      </c>
      <c r="G6" s="47">
        <f>G3/G5</f>
        <v>63.908475777865299</v>
      </c>
      <c r="H6" s="47">
        <f>H3/H5</f>
        <v>40.860268901693736</v>
      </c>
      <c r="I6" s="47">
        <f>I3/I5</f>
        <v>30.244461792920937</v>
      </c>
      <c r="J6" s="47">
        <f>J3/J5</f>
        <v>30.5167019755241</v>
      </c>
      <c r="K6" s="47">
        <f>K3/K5</f>
        <v>30.827685842690691</v>
      </c>
      <c r="L6" s="47">
        <f>L3/L5</f>
        <v>31.041338697813238</v>
      </c>
      <c r="M6" s="47">
        <f>M3/M5</f>
        <v>31.279111679094161</v>
      </c>
      <c r="N6" s="47">
        <f>N3/N5</f>
        <v>31.413648303000759</v>
      </c>
      <c r="O6" s="47">
        <f>O3/O5</f>
        <v>31.985444661663113</v>
      </c>
      <c r="P6" s="47">
        <f>P3/P5</f>
        <v>32.567648951063916</v>
      </c>
      <c r="Q6" s="47">
        <f>Q3/Q5</f>
        <v>33.160450618058874</v>
      </c>
      <c r="R6" s="47">
        <f>R3/R5</f>
        <v>33.764042557846324</v>
      </c>
      <c r="S6" s="47">
        <f>S3/S5</f>
        <v>34.378621176734505</v>
      </c>
      <c r="T6" s="47">
        <f>T3/T5</f>
        <v>35.004386456051392</v>
      </c>
      <c r="U6" s="43"/>
      <c r="V6" s="49" t="s">
        <v>58</v>
      </c>
      <c r="W6" s="48"/>
    </row>
    <row r="7" spans="1:23" x14ac:dyDescent="0.3">
      <c r="A7" t="s">
        <v>57</v>
      </c>
      <c r="B7" s="47">
        <f>B3/((('[1]Three Statements'!B37-'[1]Three Statements'!B33)-SUM('[1]Three Statements'!B39:B45))/'[1]Three Statements'!B17)</f>
        <v>3.5494147754707868</v>
      </c>
      <c r="C7" s="47">
        <f>C3/((('[1]Three Statements'!C37-'[1]Three Statements'!C33)-SUM('[1]Three Statements'!C39:C45))/'[1]Three Statements'!C17)</f>
        <v>7.4780412457209655</v>
      </c>
      <c r="D7" s="47">
        <f>D3/((('[1]Three Statements'!D37-'[1]Three Statements'!D33)-SUM('[1]Three Statements'!D39:D45))/'[1]Three Statements'!D17)</f>
        <v>7.1970009897723521</v>
      </c>
      <c r="E7" s="47">
        <f>E3/((('[1]Three Statements'!E37-'[1]Three Statements'!E33)-SUM('[1]Three Statements'!E39:E45))/'[1]Three Statements'!E17)</f>
        <v>11.906441377138659</v>
      </c>
      <c r="F7" s="47">
        <f>F3/((('[1]Three Statements'!F37-'[1]Three Statements'!F33)-SUM('[1]Three Statements'!F39:F45))/'[1]Three Statements'!F17)</f>
        <v>15.189710631494805</v>
      </c>
      <c r="G7" s="47">
        <f>G3/((('[1]Three Statements'!G37-'[1]Three Statements'!G33)-SUM('[1]Three Statements'!G39:G45))/'[1]Three Statements'!G17)</f>
        <v>20.853825986377071</v>
      </c>
      <c r="H7" s="47">
        <f>H3/((('[1]Three Statements'!H37-'[1]Three Statements'!H33)-SUM('[1]Three Statements'!H39:H45))/'[1]Three Statements'!H17)</f>
        <v>18.723536565850537</v>
      </c>
      <c r="I7" s="47">
        <f>I3/((('[1]Three Statements'!I37-'[1]Three Statements'!I33)-SUM('[1]Three Statements'!I39:I45))/'[1]Three Statements'!I17)</f>
        <v>12.194599266422141</v>
      </c>
      <c r="J7" s="47">
        <f>J3/((('[1]Three Statements'!J37-'[1]Three Statements'!J33)-SUM('[1]Three Statements'!J39:J45))/'[1]Three Statements'!J17)</f>
        <v>14.498903179832608</v>
      </c>
      <c r="K7" s="47">
        <f>K3/((('[1]Three Statements'!K37-'[1]Three Statements'!K33)-SUM('[1]Three Statements'!K39:K45))/'[1]Three Statements'!K17)</f>
        <v>15.51323626502794</v>
      </c>
      <c r="L7" s="47">
        <f>L3/((('[1]Three Statements'!L37-'[1]Three Statements'!L33)-SUM('[1]Three Statements'!L39:L45))/'[1]Three Statements'!L17)</f>
        <v>20.030231272784309</v>
      </c>
      <c r="M7" s="47">
        <f>M3/((('[1]Three Statements'!M37-'[1]Three Statements'!M33)-SUM('[1]Three Statements'!M39:M45))/'[1]Three Statements'!M17)</f>
        <v>23.887291651336763</v>
      </c>
      <c r="N7" s="47">
        <f>N3/((('[1]Three Statements'!N37-'[1]Three Statements'!N33)-SUM('[1]Three Statements'!N39:N45))/'[1]Three Statements'!N17)</f>
        <v>23.622185353042745</v>
      </c>
      <c r="O7" s="47">
        <f>N7*(1+$U$7)</f>
        <v>27.562678568939035</v>
      </c>
      <c r="P7" s="47">
        <f>O7*(1+$U$7)</f>
        <v>32.160498215580844</v>
      </c>
      <c r="Q7" s="47">
        <f>P7*(1+$U$7)</f>
        <v>37.525295042984339</v>
      </c>
      <c r="R7" s="47">
        <f>Q7*(1+$U$7)</f>
        <v>43.785010997771721</v>
      </c>
      <c r="S7" s="47">
        <f>R7*(1+$U$7)</f>
        <v>51.088930436895076</v>
      </c>
      <c r="T7" s="47">
        <f>S7*(1+$U$7)</f>
        <v>59.611240324199862</v>
      </c>
      <c r="U7" s="43">
        <f>_xlfn.RRI(8,B7,I7)</f>
        <v>0.16681323751397614</v>
      </c>
      <c r="W7" s="48"/>
    </row>
    <row r="8" spans="1:23" x14ac:dyDescent="0.3">
      <c r="A8" t="s">
        <v>3</v>
      </c>
      <c r="B8" s="47">
        <f>B4/'[1]Three Statements'!B5</f>
        <v>8.5788443893366395</v>
      </c>
      <c r="C8" s="47">
        <f>C4/'[1]Three Statements'!C5</f>
        <v>16.723020223020225</v>
      </c>
      <c r="D8" s="47">
        <f>D4/'[1]Three Statements'!D5</f>
        <v>15.439823040169882</v>
      </c>
      <c r="E8" s="47">
        <f>E4/'[1]Three Statements'!E5</f>
        <v>22.043243659773704</v>
      </c>
      <c r="F8" s="47">
        <f>F4/'[1]Three Statements'!F5</f>
        <v>23.767650045004501</v>
      </c>
      <c r="G8" s="47">
        <f>G4/'[1]Three Statements'!G5</f>
        <v>44.244690289423858</v>
      </c>
      <c r="H8" s="47">
        <f>H4/'[1]Three Statements'!H5</f>
        <v>30.459470457806184</v>
      </c>
      <c r="I8" s="47">
        <f>I4/'[1]Three Statements'!I5</f>
        <v>24.259080417271882</v>
      </c>
      <c r="J8" s="47">
        <f>J4/'[1]Three Statements'!J5</f>
        <v>24.874017622313719</v>
      </c>
      <c r="K8" s="47">
        <f>K4/'[1]Three Statements'!K5</f>
        <v>25.386639740007411</v>
      </c>
      <c r="L8" s="47">
        <f>L4/'[1]Three Statements'!L5</f>
        <v>26.019364646269175</v>
      </c>
      <c r="M8" s="47">
        <f>M4/'[1]Three Statements'!M5</f>
        <v>26.526650197130284</v>
      </c>
      <c r="N8" s="47">
        <f>N4/'[1]Three Statements'!N5</f>
        <v>26.738611158430828</v>
      </c>
      <c r="O8" s="47">
        <f>N8*(1+$U$7)</f>
        <v>31.198965452396003</v>
      </c>
      <c r="P8" s="47">
        <f>O8*(1+$U$7)</f>
        <v>36.403365886596873</v>
      </c>
      <c r="Q8" s="47">
        <f>P8*(1+$U$7)</f>
        <v>42.475929206545935</v>
      </c>
      <c r="R8" s="47">
        <f>Q8*(1+$U$7)</f>
        <v>49.561476473904321</v>
      </c>
      <c r="S8" s="47">
        <f>R8*(1+$U$7)</f>
        <v>57.828986820489064</v>
      </c>
      <c r="T8" s="47">
        <f>S8*(1+$U$7)</f>
        <v>67.475627334167896</v>
      </c>
      <c r="U8" s="43">
        <f>_xlfn.RRI(8,B8,I8)</f>
        <v>0.13875603864836594</v>
      </c>
      <c r="V8" s="23"/>
    </row>
    <row r="9" spans="1:23" x14ac:dyDescent="0.3">
      <c r="A9" t="s">
        <v>56</v>
      </c>
      <c r="B9" s="47">
        <f>B4/B15</f>
        <v>8.7014923562107906</v>
      </c>
      <c r="C9" s="47">
        <f>C4/C15</f>
        <v>15.653645834030932</v>
      </c>
      <c r="D9" s="47">
        <f>D4/D15</f>
        <v>13.135775586860651</v>
      </c>
      <c r="E9" s="47">
        <f>E4/E15</f>
        <v>34.64857542575168</v>
      </c>
      <c r="F9" s="47">
        <f>F4/F15</f>
        <v>20.15369581269907</v>
      </c>
      <c r="G9" s="47">
        <f>G4/G15</f>
        <v>30.937054652951574</v>
      </c>
      <c r="H9" s="47">
        <f>H4/H15</f>
        <v>29.642672839415486</v>
      </c>
      <c r="I9" s="47">
        <f>I4/I15</f>
        <v>20.599546550656964</v>
      </c>
      <c r="J9" s="47">
        <f>J4/J15</f>
        <v>21.823051058768893</v>
      </c>
      <c r="K9" s="47">
        <f>K4/K15</f>
        <v>22.318494849591659</v>
      </c>
      <c r="L9" s="47">
        <f>L4/L15</f>
        <v>22.990715353585987</v>
      </c>
      <c r="M9" s="47">
        <f>M4/M15</f>
        <v>23.623828936074464</v>
      </c>
      <c r="N9" s="47">
        <f>N4/N15</f>
        <v>24.062933157892104</v>
      </c>
      <c r="O9" s="47">
        <f>O4/O15</f>
        <v>23.391022191876264</v>
      </c>
      <c r="P9" s="47">
        <f>P4/P15</f>
        <v>22.737873042771518</v>
      </c>
      <c r="Q9" s="47">
        <f>Q4/Q15</f>
        <v>22.102961823051682</v>
      </c>
      <c r="R9" s="47">
        <f>R4/R15</f>
        <v>21.485779273738611</v>
      </c>
      <c r="S9" s="47">
        <f>S4/S15</f>
        <v>20.885830355928231</v>
      </c>
      <c r="T9" s="47">
        <f>T4/T15</f>
        <v>20.30263385372243</v>
      </c>
      <c r="U9" s="43">
        <f>_xlfn.RRI(8,B9,I9)</f>
        <v>0.11373787674123403</v>
      </c>
      <c r="V9" s="23"/>
    </row>
    <row r="10" spans="1:23" x14ac:dyDescent="0.3">
      <c r="A10" t="s">
        <v>55</v>
      </c>
      <c r="B10" s="36">
        <f>SUM('[1]Three Statements'!B39:B45)/SUM('[1]Three Statements'!B47:B50)</f>
        <v>0.69961438577162194</v>
      </c>
      <c r="C10" s="36">
        <f>SUM('[1]Three Statements'!C39:C45)/SUM('[1]Three Statements'!C47:C50)</f>
        <v>0.74547234459128731</v>
      </c>
      <c r="D10" s="36">
        <f>SUM('[1]Three Statements'!D39:D45)/SUM('[1]Three Statements'!D47:D50)</f>
        <v>0.87466752639638912</v>
      </c>
      <c r="E10" s="36">
        <f>SUM('[1]Three Statements'!E39:E45)/SUM('[1]Three Statements'!E47:E50)</f>
        <v>1.2967794537301265</v>
      </c>
      <c r="F10" s="36">
        <f>SUM('[1]Three Statements'!F39:F45)/SUM('[1]Three Statements'!F47:F50)</f>
        <v>1.6235619469026548</v>
      </c>
      <c r="G10" s="36">
        <f>SUM('[1]Three Statements'!G39:G45)/SUM('[1]Three Statements'!G47:G50)</f>
        <v>2.8909993792675355</v>
      </c>
      <c r="H10" s="36">
        <f>SUM('[1]Three Statements'!H39:H45)/SUM('[1]Three Statements'!H47:H50)</f>
        <v>1.9560585885486019</v>
      </c>
      <c r="I10" s="36">
        <f>SUM('[1]Three Statements'!I39:I45)/SUM('[1]Three Statements'!I47:I50)</f>
        <v>1.6386362149074014</v>
      </c>
      <c r="J10" s="36">
        <f>SUM('[1]Three Statements'!J39:J45)/SUM('[1]Three Statements'!J47:J50)</f>
        <v>1.8572756466852693</v>
      </c>
      <c r="K10" s="36">
        <f>SUM('[1]Three Statements'!K39:K45)/SUM('[1]Three Statements'!K47:K50)</f>
        <v>1.983941193497607</v>
      </c>
      <c r="L10" s="36">
        <f>SUM('[1]Three Statements'!L39:L45)/SUM('[1]Three Statements'!L47:L50)</f>
        <v>2.497229181077977</v>
      </c>
      <c r="M10" s="36">
        <f>SUM('[1]Three Statements'!M39:M45)/SUM('[1]Three Statements'!M47:M50)</f>
        <v>2.8974377760789758</v>
      </c>
      <c r="N10" s="36">
        <f>SUM('[1]Three Statements'!N39:N45)/SUM('[1]Three Statements'!N47:N50)</f>
        <v>2.7227574553191976</v>
      </c>
      <c r="O10" s="46">
        <f>N10*(1+$U$10)</f>
        <v>3.0283909041578809</v>
      </c>
      <c r="P10" s="46">
        <f>O10*(1+$U$10)</f>
        <v>3.3683321481571422</v>
      </c>
      <c r="Q10" s="46">
        <f>P10*(1+$U$10)</f>
        <v>3.7464322867737088</v>
      </c>
      <c r="R10" s="46">
        <f>Q10*(1+$U$10)</f>
        <v>4.1669747109291526</v>
      </c>
      <c r="S10" s="46">
        <f>R10*(1+$U$10)</f>
        <v>4.63472362834991</v>
      </c>
      <c r="T10" s="46">
        <f>S10*(1+$U$10)</f>
        <v>5.1549780359466579</v>
      </c>
      <c r="U10" s="43">
        <f>_xlfn.RRI(8,B10,I10)</f>
        <v>0.11225144136198972</v>
      </c>
      <c r="V10" s="23"/>
    </row>
    <row r="11" spans="1:23" x14ac:dyDescent="0.3">
      <c r="A11" t="s">
        <v>54</v>
      </c>
      <c r="B11" s="36">
        <f>SUM('[1]Three Statements'!B39:B45)/'[1]Three Statements'!B51</f>
        <v>0.41163124508033522</v>
      </c>
      <c r="C11" s="36">
        <f>SUM('[1]Three Statements'!C39:C45)/'[1]Three Statements'!C51</f>
        <v>0.42708917554683118</v>
      </c>
      <c r="D11" s="36">
        <f>SUM('[1]Three Statements'!D39:D45)/'[1]Three Statements'!D51</f>
        <v>0.46657207962509134</v>
      </c>
      <c r="E11" s="36">
        <f>SUM('[1]Three Statements'!E39:E45)/'[1]Three Statements'!E51</f>
        <v>0.56460773872914449</v>
      </c>
      <c r="F11" s="36">
        <f>SUM('[1]Three Statements'!F39:F45)/'[1]Three Statements'!F51</f>
        <v>0.61883880760635834</v>
      </c>
      <c r="G11" s="36">
        <f>SUM('[1]Three Statements'!G39:G45)/'[1]Three Statements'!G51</f>
        <v>0.74299661795673533</v>
      </c>
      <c r="H11" s="36">
        <f>SUM('[1]Three Statements'!H39:H45)/'[1]Three Statements'!H51</f>
        <v>0.66171171171171173</v>
      </c>
      <c r="I11" s="36">
        <f>SUM('[1]Three Statements'!I39:I45)/'[1]Three Statements'!I51</f>
        <v>0.62101634384067861</v>
      </c>
      <c r="J11" s="36">
        <f>SUM('[1]Three Statements'!J39:J45)/'[1]Three Statements'!J51</f>
        <v>0.65001626596296314</v>
      </c>
      <c r="K11" s="36">
        <f>SUM('[1]Three Statements'!K39:K45)/'[1]Three Statements'!K51</f>
        <v>0.66487275212422769</v>
      </c>
      <c r="L11" s="36">
        <f>SUM('[1]Three Statements'!L39:L45)/'[1]Three Statements'!L51</f>
        <v>0.71405934577848773</v>
      </c>
      <c r="M11" s="36">
        <f>SUM('[1]Three Statements'!M39:M45)/'[1]Three Statements'!M51</f>
        <v>0.74342117630777116</v>
      </c>
      <c r="N11" s="36">
        <f>SUM('[1]Three Statements'!N39:N45)/'[1]Three Statements'!N51</f>
        <v>0.73138190924279323</v>
      </c>
      <c r="O11" s="46">
        <f>N11*(1+$U$10)</f>
        <v>0.81348058274138069</v>
      </c>
      <c r="P11" s="46">
        <f>O11*(1+$U$10)</f>
        <v>0.90479495067409199</v>
      </c>
      <c r="Q11" s="46">
        <f>P11*(1+$U$10)</f>
        <v>1.0063594880243092</v>
      </c>
      <c r="R11" s="46">
        <f>Q11*(1+$U$10)</f>
        <v>1.1193247910833519</v>
      </c>
      <c r="S11" s="46">
        <f>R11*(1+$U$10)</f>
        <v>1.2449706122346662</v>
      </c>
      <c r="T11" s="46">
        <f>S11*(1+$U$10)</f>
        <v>1.3847203579113263</v>
      </c>
      <c r="U11" s="43">
        <f>_xlfn.RRI(8,B11,I11)</f>
        <v>5.274778703488181E-2</v>
      </c>
      <c r="V11" s="23"/>
    </row>
    <row r="12" spans="1:23" x14ac:dyDescent="0.3">
      <c r="A12" t="s">
        <v>4</v>
      </c>
      <c r="B12" s="36">
        <f>'[1]Three Statements'!B16/SUM('[1]Three Statements'!B47:B50)</f>
        <v>0.25757456520028332</v>
      </c>
      <c r="C12" s="36">
        <f>'[1]Three Statements'!C16/SUM('[1]Three Statements'!C47:C50)</f>
        <v>0.3067384565181922</v>
      </c>
      <c r="D12" s="36">
        <f>'[1]Three Statements'!D16/SUM('[1]Three Statements'!D47:D50)</f>
        <v>0.34174256468122832</v>
      </c>
      <c r="E12" s="36">
        <f>'[1]Three Statements'!E16/SUM('[1]Three Statements'!E47:E50)</f>
        <v>0.19700366897676314</v>
      </c>
      <c r="F12" s="36">
        <f>'[1]Three Statements'!F16/SUM('[1]Three Statements'!F47:F50)</f>
        <v>0.44568584070796458</v>
      </c>
      <c r="G12" s="36">
        <f>'[1]Three Statements'!G16/SUM('[1]Three Statements'!G47:G50)</f>
        <v>0.31520794537554314</v>
      </c>
      <c r="H12" s="36">
        <f>'[1]Three Statements'!H16/SUM('[1]Three Statements'!H47:H50)</f>
        <v>0.44857836610010182</v>
      </c>
      <c r="I12" s="36">
        <f>'[1]Three Statements'!I16/SUM('[1]Three Statements'!I47:I50)</f>
        <v>0.3956547346377855</v>
      </c>
      <c r="J12" s="36">
        <f>'[1]Three Statements'!J16/SUM('[1]Three Statements'!J47:J50)</f>
        <v>0.46508084150820106</v>
      </c>
      <c r="K12" s="36">
        <f>'[1]Three Statements'!K16/SUM('[1]Three Statements'!K47:K50)</f>
        <v>0.49205425935769975</v>
      </c>
      <c r="L12" s="36">
        <f>'[1]Three Statements'!L16/SUM('[1]Three Statements'!L47:L50)</f>
        <v>0.62720104730277726</v>
      </c>
      <c r="M12" s="36">
        <f>'[1]Three Statements'!M16/SUM('[1]Three Statements'!M47:M50)</f>
        <v>0.73881498017020497</v>
      </c>
      <c r="N12" s="36">
        <f>'[1]Three Statements'!N16/SUM('[1]Three Statements'!N47:N50)</f>
        <v>0.72822504266012789</v>
      </c>
      <c r="O12" s="46">
        <f>N12*(1+$U$10)</f>
        <v>0.80996935333462372</v>
      </c>
      <c r="P12" s="46">
        <f>O12*(1+$U$10)</f>
        <v>0.90088958070547398</v>
      </c>
      <c r="Q12" s="46">
        <f>P12*(1+$U$10)</f>
        <v>1.0020157346476619</v>
      </c>
      <c r="R12" s="46">
        <f>Q12*(1+$U$10)</f>
        <v>1.114493445129255</v>
      </c>
      <c r="S12" s="46">
        <f>R12*(1+$U$10)</f>
        <v>1.2395969407335035</v>
      </c>
      <c r="T12" s="46">
        <f>S12*(1+$U$10)</f>
        <v>1.3787434840387522</v>
      </c>
      <c r="U12" s="43">
        <f>_xlfn.RRI(8,B12,I12)</f>
        <v>5.5119559573690191E-2</v>
      </c>
      <c r="V12" s="23"/>
    </row>
    <row r="13" spans="1:23" x14ac:dyDescent="0.3">
      <c r="I13" s="19"/>
      <c r="J13" s="19"/>
      <c r="K13" s="19"/>
      <c r="L13" s="19"/>
      <c r="M13" s="19"/>
      <c r="N13" s="19"/>
      <c r="O13" s="22"/>
      <c r="P13" s="22"/>
      <c r="Q13" s="22"/>
      <c r="R13" s="22"/>
      <c r="S13" s="22"/>
      <c r="T13" s="22"/>
      <c r="U13" s="43"/>
      <c r="V13" s="45"/>
    </row>
    <row r="14" spans="1:23" x14ac:dyDescent="0.3">
      <c r="A14" t="s">
        <v>53</v>
      </c>
      <c r="I14" s="44">
        <v>0</v>
      </c>
      <c r="J14" s="44">
        <v>1</v>
      </c>
      <c r="K14" s="44">
        <v>2</v>
      </c>
      <c r="L14" s="44">
        <v>3</v>
      </c>
      <c r="M14" s="44">
        <v>4</v>
      </c>
      <c r="N14" s="44">
        <v>5</v>
      </c>
      <c r="O14" s="44">
        <v>6</v>
      </c>
      <c r="P14" s="44">
        <v>7</v>
      </c>
      <c r="Q14" s="44">
        <v>8</v>
      </c>
      <c r="R14" s="44">
        <v>9</v>
      </c>
      <c r="S14" s="44">
        <v>10</v>
      </c>
      <c r="T14" s="44">
        <v>11</v>
      </c>
      <c r="U14" s="23"/>
      <c r="V14" s="23"/>
    </row>
    <row r="15" spans="1:23" x14ac:dyDescent="0.3">
      <c r="A15" t="s">
        <v>52</v>
      </c>
      <c r="B15" s="19">
        <f>+'[1]Three Statements'!B61</f>
        <v>4770.7940546967893</v>
      </c>
      <c r="C15" s="19">
        <f>+'[1]Three Statements'!C61</f>
        <v>5652.4531689379191</v>
      </c>
      <c r="D15" s="19">
        <f>+'[1]Three Statements'!D61</f>
        <v>6642.19934506754</v>
      </c>
      <c r="E15" s="19">
        <f>+'[1]Three Statements'!E61</f>
        <v>3261.1345664739883</v>
      </c>
      <c r="F15" s="19">
        <f>+'[1]Three Statements'!F61</f>
        <v>6551.1208081649656</v>
      </c>
      <c r="G15" s="19">
        <f>+'[1]Three Statements'!G61</f>
        <v>5287.2719085555946</v>
      </c>
      <c r="H15" s="19">
        <f>+'[1]Three Statements'!H61</f>
        <v>7878.2625731872085</v>
      </c>
      <c r="I15" s="19">
        <f>+'[1]Three Statements'!I61</f>
        <v>8918.3524282062863</v>
      </c>
      <c r="J15" s="19">
        <f>+'[1]Three Statements'!J61</f>
        <v>9217.0129754222544</v>
      </c>
      <c r="K15" s="19">
        <f>+'[1]Three Statements'!K61</f>
        <v>9864.032551921393</v>
      </c>
      <c r="L15" s="19">
        <f>+'[1]Three Statements'!L61</f>
        <v>10569.33033104851</v>
      </c>
      <c r="M15" s="19">
        <f>+'[1]Three Statements'!M61</f>
        <v>11340.113385069928</v>
      </c>
      <c r="N15" s="19">
        <f>+'[1]Three Statements'!N61</f>
        <v>12184.178210511653</v>
      </c>
      <c r="O15" s="22">
        <f>N15*(1+$U$15)</f>
        <v>12784.85415162899</v>
      </c>
      <c r="P15" s="22">
        <f>O15*(1+$U$15)</f>
        <v>13415.143217242972</v>
      </c>
      <c r="Q15" s="22">
        <f>P15*(1+$U$15)</f>
        <v>14076.505324560911</v>
      </c>
      <c r="R15" s="22">
        <f>Q15*(1+$U$15)</f>
        <v>14770.472364223799</v>
      </c>
      <c r="S15" s="22">
        <f>R15*(1+$U$15)</f>
        <v>15498.651748572707</v>
      </c>
      <c r="T15" s="22">
        <f>S15*(1+$U$15)</f>
        <v>16262.730134843523</v>
      </c>
      <c r="U15" s="43">
        <f>_xlfn.RRI(13,B15,I15)</f>
        <v>4.9299668039910705E-2</v>
      </c>
      <c r="V15" s="42"/>
    </row>
    <row r="16" spans="1:23" s="38" customFormat="1" ht="12" x14ac:dyDescent="0.25">
      <c r="A16" s="41" t="s">
        <v>51</v>
      </c>
      <c r="B16" s="40" t="str">
        <f>+IFERROR(B15/A15-1,"nm")</f>
        <v>nm</v>
      </c>
      <c r="C16" s="40">
        <f>+IFERROR(C15/B15-1,"nm")</f>
        <v>0.18480343190944226</v>
      </c>
      <c r="D16" s="40">
        <f>+IFERROR(D15/C15-1,"nm")</f>
        <v>0.17510028770668984</v>
      </c>
      <c r="E16" s="40">
        <f>+IFERROR(E15/D15-1,"nm")</f>
        <v>-0.50902789918587898</v>
      </c>
      <c r="F16" s="40">
        <f>+IFERROR(F15/E15-1,"nm")</f>
        <v>1.0088471280865248</v>
      </c>
      <c r="G16" s="40">
        <f>+IFERROR(G15/F15-1,"nm")</f>
        <v>-0.19292101864984346</v>
      </c>
      <c r="H16" s="40">
        <f>+IFERROR(H15/G15-1,"nm")</f>
        <v>0.49004301451548282</v>
      </c>
      <c r="I16" s="40">
        <f>+IFERROR(I15/H15-1,"nm")</f>
        <v>0.13202020691197935</v>
      </c>
      <c r="J16" s="40">
        <f>+IFERROR(J15/I15-1,"nm")</f>
        <v>3.3488309597565102E-2</v>
      </c>
      <c r="K16" s="40">
        <f>+IFERROR(K15/J15-1,"nm")</f>
        <v>7.0198401393646304E-2</v>
      </c>
      <c r="L16" s="40">
        <f>+IFERROR(L15/K15-1,"nm")</f>
        <v>7.1501971978968459E-2</v>
      </c>
      <c r="M16" s="40">
        <f>+IFERROR(M15/L15-1,"nm")</f>
        <v>7.2926385104755687E-2</v>
      </c>
      <c r="N16" s="40">
        <f>+IFERROR(N15/M15-1,"nm")</f>
        <v>7.4431780069588838E-2</v>
      </c>
      <c r="O16" s="40">
        <f>+IFERROR(O15/N15-1,"nm")</f>
        <v>4.9299668039910705E-2</v>
      </c>
      <c r="P16" s="40">
        <f>+IFERROR(P15/O15-1,"nm")</f>
        <v>4.9299668039910705E-2</v>
      </c>
      <c r="Q16" s="40">
        <f>+IFERROR(Q15/P15-1,"nm")</f>
        <v>4.9299668039910705E-2</v>
      </c>
      <c r="R16" s="40">
        <f>+IFERROR(R15/Q15-1,"nm")</f>
        <v>4.9299668039910705E-2</v>
      </c>
      <c r="S16" s="40">
        <f>+IFERROR(S15/R15-1,"nm")</f>
        <v>4.9299668039910705E-2</v>
      </c>
      <c r="T16" s="40">
        <f>+IFERROR(T15/S15-1,"nm")</f>
        <v>4.9299668039910705E-2</v>
      </c>
      <c r="U16" s="39"/>
      <c r="V16" s="39"/>
    </row>
    <row r="17" spans="1:22" x14ac:dyDescent="0.3">
      <c r="A17" t="s">
        <v>50</v>
      </c>
      <c r="B17" s="11">
        <f>(B18*B21)+((B19*B24*(1-'[1]Three Statements'!B15)))</f>
        <v>6.8721338837801557E-2</v>
      </c>
      <c r="C17" s="11">
        <f>(C18*C21)+((C19*C24*(1-'[1]Three Statements'!C15)))</f>
        <v>5.6669526890540292E-2</v>
      </c>
      <c r="D17" s="11">
        <f>(D18*D21)+((D19*D24*(1-'[1]Three Statements'!D15)))</f>
        <v>6.3483766305516151E-2</v>
      </c>
      <c r="E17" s="11">
        <f>(E18*E21)+((E19*E24*(1-'[1]Three Statements'!E15)))</f>
        <v>6.6467653753993619E-2</v>
      </c>
      <c r="F17" s="11">
        <f>(F18*F21)+((F19*F24*(1-'[1]Three Statements'!F15)))</f>
        <v>7.6077666875237177E-2</v>
      </c>
      <c r="G17" s="11">
        <f>(G18*G21)+((G19*G24*(1-'[1]Three Statements'!G15)))</f>
        <v>6.1689223636015561E-2</v>
      </c>
      <c r="H17" s="11">
        <f>(H18*H21)+((H19*H24*(1-'[1]Three Statements'!H15)))</f>
        <v>7.8827979160042388E-2</v>
      </c>
      <c r="I17" s="11">
        <f>(I18*I21)+((I19*I24*(1-'[1]Three Statements'!I15)))</f>
        <v>8.4878683864487492E-2</v>
      </c>
      <c r="J17" s="11">
        <f>(J18*J21)+((J19*J24*(1-'[1]Three Statements'!J15)))</f>
        <v>8.5389541421726639E-2</v>
      </c>
      <c r="K17" s="11">
        <f>(K18*K21)+((K19*K24*(1-'[1]Three Statements'!K15)))</f>
        <v>8.2748440357299918E-2</v>
      </c>
      <c r="L17" s="11">
        <f>(L18*L21)+((L19*L24*(1-'[1]Three Statements'!L15)))</f>
        <v>8.1221000599724424E-2</v>
      </c>
      <c r="M17" s="11">
        <f>(M18*M21)+((M19*M24*(1-'[1]Three Statements'!M15)))</f>
        <v>8.0345373404904843E-2</v>
      </c>
      <c r="N17" s="11">
        <f>(N18*N21)+((N19*N24*(1-'[1]Three Statements'!N15)))</f>
        <v>8.233198931319971E-2</v>
      </c>
      <c r="O17" s="11">
        <f>(O18*O21)+((O19*O24*(1-'[1]Three Statements'!O15)))</f>
        <v>8.2667453103631855E-2</v>
      </c>
      <c r="P17" s="11">
        <f>(P18*P21)+((P19*P24*(1-'[1]Three Statements'!P15)))</f>
        <v>8.2446401249492249E-2</v>
      </c>
      <c r="Q17" s="11">
        <f>(Q18*Q21)+((Q19*Q24*(1-'[1]Three Statements'!Q15)))</f>
        <v>8.2226493450436908E-2</v>
      </c>
      <c r="R17" s="11">
        <f>(R18*R21)+((R19*R24*(1-'[1]Three Statements'!R15)))</f>
        <v>8.200761220352519E-2</v>
      </c>
      <c r="S17" s="11">
        <f>(S18*S21)+((S19*S24*(1-'[1]Three Statements'!S15)))</f>
        <v>8.1789640268444902E-2</v>
      </c>
      <c r="T17" s="11">
        <f>(T18*T21)+((T19*T24*(1-'[1]Three Statements'!T15)))</f>
        <v>8.157246060398228E-2</v>
      </c>
      <c r="U17" s="23"/>
      <c r="V17" s="23"/>
    </row>
    <row r="18" spans="1:22" x14ac:dyDescent="0.3">
      <c r="A18" t="s">
        <v>49</v>
      </c>
      <c r="B18" s="36">
        <f>1-B19</f>
        <v>0.94165856368940126</v>
      </c>
      <c r="C18" s="36">
        <f>1-C19</f>
        <v>0.90395401009534493</v>
      </c>
      <c r="D18" s="36">
        <f>1-D19</f>
        <v>0.83653639451395156</v>
      </c>
      <c r="E18" s="36">
        <f>1-E19</f>
        <v>0.83093716719914801</v>
      </c>
      <c r="F18" s="36">
        <f>1-F19</f>
        <v>0.85331197031665051</v>
      </c>
      <c r="G18" s="36">
        <f>1-G19</f>
        <v>0.69188309616489052</v>
      </c>
      <c r="H18" s="36">
        <f>1-H19</f>
        <v>0.7505299417064123</v>
      </c>
      <c r="I18" s="36">
        <f>1-I19</f>
        <v>0.76612683217182109</v>
      </c>
      <c r="J18" s="36">
        <f>1-J19</f>
        <v>0.7692400645010764</v>
      </c>
      <c r="K18" s="36">
        <f>1-K19</f>
        <v>0.74421954786784927</v>
      </c>
      <c r="L18" s="36">
        <f>1-L19</f>
        <v>0.72628091625573354</v>
      </c>
      <c r="M18" s="36">
        <f>1-M19</f>
        <v>0.71616124401572978</v>
      </c>
      <c r="N18" s="36">
        <f>1-N19</f>
        <v>0.73513304318977246</v>
      </c>
      <c r="O18" s="36">
        <f>1-O19</f>
        <v>0.73513304318977246</v>
      </c>
      <c r="P18" s="36">
        <f>1-P19</f>
        <v>0.73513304318977246</v>
      </c>
      <c r="Q18" s="36">
        <f>1-Q19</f>
        <v>0.73513304318977246</v>
      </c>
      <c r="R18" s="36">
        <f>1-R19</f>
        <v>0.73513304318977246</v>
      </c>
      <c r="S18" s="36">
        <f>1-S19</f>
        <v>0.73513304318977246</v>
      </c>
      <c r="T18" s="36">
        <f>1-T19</f>
        <v>0.73513304318977246</v>
      </c>
      <c r="U18" s="27">
        <f>_xlfn.RRI(8,B18,I18)</f>
        <v>-2.545723512515663E-2</v>
      </c>
      <c r="V18" s="37"/>
    </row>
    <row r="19" spans="1:22" x14ac:dyDescent="0.3">
      <c r="A19" t="s">
        <v>48</v>
      </c>
      <c r="B19" s="36">
        <f>SUM('[1]Three Statements'!B39,'[1]Three Statements'!B40,'[1]Three Statements'!B43)/'[1]Three Statements'!B51</f>
        <v>5.8341436310598696E-2</v>
      </c>
      <c r="C19" s="36">
        <f>SUM('[1]Three Statements'!C39,'[1]Three Statements'!C40,'[1]Three Statements'!C43)/'[1]Three Statements'!C51</f>
        <v>9.6045989904655071E-2</v>
      </c>
      <c r="D19" s="36">
        <f>SUM('[1]Three Statements'!D39,'[1]Three Statements'!D40,'[1]Three Statements'!D43)/'[1]Three Statements'!D51</f>
        <v>0.16346360548604841</v>
      </c>
      <c r="E19" s="36">
        <f>SUM('[1]Three Statements'!E39,'[1]Three Statements'!E40,'[1]Three Statements'!E43)/'[1]Three Statements'!E51</f>
        <v>0.16906283280085196</v>
      </c>
      <c r="F19" s="36">
        <f>SUM('[1]Three Statements'!F39,'[1]Three Statements'!F40,'[1]Three Statements'!F43)/'[1]Three Statements'!F51</f>
        <v>0.14668802968334949</v>
      </c>
      <c r="G19" s="36">
        <f>SUM('[1]Three Statements'!G39,'[1]Three Statements'!G40,'[1]Three Statements'!G43)/'[1]Three Statements'!G51</f>
        <v>0.30811690383510942</v>
      </c>
      <c r="H19" s="36">
        <f>SUM('[1]Three Statements'!H39,'[1]Three Statements'!H40,'[1]Three Statements'!H43)/'[1]Three Statements'!H51</f>
        <v>0.2494700582935877</v>
      </c>
      <c r="I19" s="36">
        <f>SUM('[1]Three Statements'!I39,'[1]Three Statements'!I40,'[1]Three Statements'!I43)/'[1]Three Statements'!I51</f>
        <v>0.23387316782817885</v>
      </c>
      <c r="J19" s="36">
        <f>SUM('[1]Three Statements'!J39,'[1]Three Statements'!J40,'[1]Three Statements'!J43)/'[1]Three Statements'!J51</f>
        <v>0.23075993549892362</v>
      </c>
      <c r="K19" s="36">
        <f>SUM('[1]Three Statements'!K39,'[1]Three Statements'!K40,'[1]Three Statements'!K43)/'[1]Three Statements'!K51</f>
        <v>0.25578045213215078</v>
      </c>
      <c r="L19" s="36">
        <f>SUM('[1]Three Statements'!L39,'[1]Three Statements'!L40,'[1]Three Statements'!L43)/'[1]Three Statements'!L51</f>
        <v>0.2737190837442664</v>
      </c>
      <c r="M19" s="36">
        <f>SUM('[1]Three Statements'!M39,'[1]Three Statements'!M40,'[1]Three Statements'!M43)/'[1]Three Statements'!M51</f>
        <v>0.28383875598427022</v>
      </c>
      <c r="N19" s="36">
        <f>SUM('[1]Three Statements'!N39,'[1]Three Statements'!N40,'[1]Three Statements'!N43)/'[1]Three Statements'!N51</f>
        <v>0.26486695681022759</v>
      </c>
      <c r="O19" s="11">
        <f>N19*(1+$U$20)</f>
        <v>0.26486695681022759</v>
      </c>
      <c r="P19" s="11">
        <f>O19*(1+$U$20)</f>
        <v>0.26486695681022759</v>
      </c>
      <c r="Q19" s="11">
        <f>P19*(1+$U$20)</f>
        <v>0.26486695681022759</v>
      </c>
      <c r="R19" s="11">
        <f>Q19*(1+$U$20)</f>
        <v>0.26486695681022759</v>
      </c>
      <c r="S19" s="11">
        <f>R19*(1+$U$20)</f>
        <v>0.26486695681022759</v>
      </c>
      <c r="T19" s="11">
        <f>S19*(1+$U$20)</f>
        <v>0.26486695681022759</v>
      </c>
      <c r="U19" s="27">
        <f>_xlfn.RRI(8,B19,I19)</f>
        <v>0.18953002941172636</v>
      </c>
      <c r="V19" s="23"/>
    </row>
    <row r="20" spans="1:22" x14ac:dyDescent="0.3">
      <c r="A20" s="6" t="s">
        <v>47</v>
      </c>
      <c r="B20" s="35">
        <v>0.61519999999999997</v>
      </c>
      <c r="C20" s="34">
        <v>0.46650000000000003</v>
      </c>
      <c r="D20" s="34">
        <v>0.63939999999999997</v>
      </c>
      <c r="E20" s="34">
        <v>0.68500000000000005</v>
      </c>
      <c r="F20" s="34">
        <v>0.83840000000000003</v>
      </c>
      <c r="G20" s="34">
        <v>0.83479999999999999</v>
      </c>
      <c r="H20" s="34">
        <v>0.95979999999999999</v>
      </c>
      <c r="I20" s="34">
        <v>1.089</v>
      </c>
      <c r="J20" s="34">
        <v>1.0900000000000001</v>
      </c>
      <c r="K20" s="34">
        <v>1.0900000000000001</v>
      </c>
      <c r="L20" s="34">
        <v>1.0900000000000001</v>
      </c>
      <c r="M20" s="34">
        <v>1.0900000000000001</v>
      </c>
      <c r="N20" s="34">
        <v>1.0900000000000001</v>
      </c>
      <c r="O20" s="34">
        <v>1.0900000000000001</v>
      </c>
      <c r="P20" s="34">
        <v>1.0900000000000001</v>
      </c>
      <c r="Q20" s="34">
        <v>1.0900000000000001</v>
      </c>
      <c r="R20" s="34">
        <v>1.0900000000000001</v>
      </c>
      <c r="S20" s="34">
        <v>1.0900000000000001</v>
      </c>
      <c r="T20" s="34">
        <v>1.0900000000000001</v>
      </c>
      <c r="U20" s="27"/>
      <c r="V20" s="32" t="s">
        <v>46</v>
      </c>
    </row>
    <row r="21" spans="1:22" x14ac:dyDescent="0.3">
      <c r="A21" s="6" t="s">
        <v>45</v>
      </c>
      <c r="B21" s="31">
        <f>B22+(B23-B22)*B20</f>
        <v>7.1602240000000011E-2</v>
      </c>
      <c r="C21" s="31">
        <f>C22+(C23-C22)*C20</f>
        <v>6.1708350000000002E-2</v>
      </c>
      <c r="D21" s="31">
        <f>D22+(D23-D22)*D20</f>
        <v>7.2856500000000005E-2</v>
      </c>
      <c r="E21" s="31">
        <f>E22+(E23-E22)*E20</f>
        <v>7.7107500000000009E-2</v>
      </c>
      <c r="F21" s="31">
        <f>F22+(F23-F22)*F20</f>
        <v>8.6734560000000002E-2</v>
      </c>
      <c r="G21" s="31">
        <f>G22+(G23-G22)*G20</f>
        <v>8.505712E-2</v>
      </c>
      <c r="H21" s="31">
        <f>H22+(H23-H22)*H20</f>
        <v>9.5779980000000001E-2</v>
      </c>
      <c r="I21" s="31">
        <f>I22+(I23-I22)*I20</f>
        <v>0.1041531</v>
      </c>
      <c r="J21" s="31">
        <f>J22+(J23-J22)*J20</f>
        <v>0.10411852500000002</v>
      </c>
      <c r="K21" s="31">
        <f>K22+(K23-K22)*K20</f>
        <v>0.10402373812500001</v>
      </c>
      <c r="L21" s="31">
        <f>L22+(L23-L22)*L20</f>
        <v>0.10392658157812501</v>
      </c>
      <c r="M21" s="31">
        <f>M22+(M23-M22)*M20</f>
        <v>0.10382699611757815</v>
      </c>
      <c r="N21" s="31">
        <f>N22+(N23-N22)*N20</f>
        <v>0.10372492102051759</v>
      </c>
      <c r="O21" s="31">
        <f>O22+(O23-O22)*O20</f>
        <v>0.10362029404603053</v>
      </c>
      <c r="P21" s="31">
        <f>P22+(P23-P22)*P20</f>
        <v>0.1035130513971813</v>
      </c>
      <c r="Q21" s="31">
        <f>Q22+(Q23-Q22)*Q20</f>
        <v>0.10340312768211082</v>
      </c>
      <c r="R21" s="31">
        <f>R22+(R23-R22)*R20</f>
        <v>0.10329045587416361</v>
      </c>
      <c r="S21" s="31">
        <f>S22+(S23-S22)*S20</f>
        <v>0.10317496727101769</v>
      </c>
      <c r="T21" s="31">
        <f>T22+(T23-T22)*T20</f>
        <v>0.10305659145279314</v>
      </c>
      <c r="U21" s="27"/>
      <c r="V21" s="27"/>
    </row>
    <row r="22" spans="1:22" x14ac:dyDescent="0.3">
      <c r="A22" s="6" t="s">
        <v>44</v>
      </c>
      <c r="B22" s="31">
        <v>2.7799999999999998E-2</v>
      </c>
      <c r="C22" s="11">
        <v>2.9100000000000001E-2</v>
      </c>
      <c r="D22" s="11">
        <v>2.6499999999999999E-2</v>
      </c>
      <c r="E22" s="11">
        <v>2.9499999999999998E-2</v>
      </c>
      <c r="F22" s="11">
        <v>2.3099999999999999E-2</v>
      </c>
      <c r="G22" s="11">
        <v>1.46E-2</v>
      </c>
      <c r="H22" s="11">
        <v>1.89E-2</v>
      </c>
      <c r="I22" s="31">
        <v>4.1099999999999998E-2</v>
      </c>
      <c r="J22" s="33">
        <f>I22*(1+$U$22)</f>
        <v>4.2127499999999991E-2</v>
      </c>
      <c r="K22" s="33">
        <f>J22*(1+$U$22)</f>
        <v>4.3180687499999988E-2</v>
      </c>
      <c r="L22" s="33">
        <f>K22*(1+$U$22)</f>
        <v>4.4260204687499985E-2</v>
      </c>
      <c r="M22" s="33">
        <f>L22*(1+$U$22)</f>
        <v>4.5366709804687481E-2</v>
      </c>
      <c r="N22" s="33">
        <f>M22*(1+$U$22)</f>
        <v>4.6500877549804663E-2</v>
      </c>
      <c r="O22" s="33">
        <f>N22*(1+$U$22)</f>
        <v>4.7663399488549772E-2</v>
      </c>
      <c r="P22" s="33">
        <f>O22*(1+$U$22)</f>
        <v>4.8854984475763509E-2</v>
      </c>
      <c r="Q22" s="33">
        <f>P22*(1+$U$22)</f>
        <v>5.007635908765759E-2</v>
      </c>
      <c r="R22" s="33">
        <f>Q22*(1+$U$22)</f>
        <v>5.1328268064849025E-2</v>
      </c>
      <c r="S22" s="33">
        <f>R22*(1+$U$22)</f>
        <v>5.2611474766470247E-2</v>
      </c>
      <c r="T22" s="33">
        <f>S22*(1+$U$22)</f>
        <v>5.3926761635631995E-2</v>
      </c>
      <c r="U22" s="27">
        <v>2.5000000000000001E-2</v>
      </c>
      <c r="V22" s="32" t="s">
        <v>43</v>
      </c>
    </row>
    <row r="23" spans="1:22" x14ac:dyDescent="0.3">
      <c r="A23" s="6" t="s">
        <v>42</v>
      </c>
      <c r="B23" s="31">
        <v>9.9000000000000005E-2</v>
      </c>
      <c r="C23" s="31">
        <v>9.9000000000000005E-2</v>
      </c>
      <c r="D23" s="31">
        <v>9.9000000000000005E-2</v>
      </c>
      <c r="E23" s="31">
        <v>9.9000000000000005E-2</v>
      </c>
      <c r="F23" s="31">
        <v>9.9000000000000005E-2</v>
      </c>
      <c r="G23" s="31">
        <v>9.9000000000000005E-2</v>
      </c>
      <c r="H23" s="31">
        <v>9.9000000000000005E-2</v>
      </c>
      <c r="I23" s="31">
        <v>9.9000000000000005E-2</v>
      </c>
      <c r="J23" s="31">
        <v>9.9000000000000005E-2</v>
      </c>
      <c r="K23" s="31">
        <v>9.9000000000000005E-2</v>
      </c>
      <c r="L23" s="31">
        <v>9.9000000000000005E-2</v>
      </c>
      <c r="M23" s="31">
        <v>9.9000000000000005E-2</v>
      </c>
      <c r="N23" s="31">
        <v>9.9000000000000005E-2</v>
      </c>
      <c r="O23" s="31">
        <v>9.9000000000000005E-2</v>
      </c>
      <c r="P23" s="31">
        <v>9.9000000000000005E-2</v>
      </c>
      <c r="Q23" s="31">
        <v>9.9000000000000005E-2</v>
      </c>
      <c r="R23" s="31">
        <v>9.9000000000000005E-2</v>
      </c>
      <c r="S23" s="31">
        <v>9.9000000000000005E-2</v>
      </c>
      <c r="T23" s="31">
        <v>9.9000000000000005E-2</v>
      </c>
      <c r="U23" s="27"/>
      <c r="V23" s="27"/>
    </row>
    <row r="24" spans="1:22" x14ac:dyDescent="0.3">
      <c r="A24" s="30" t="s">
        <v>41</v>
      </c>
      <c r="B24" s="29">
        <f>('[1]Three Statements'!B10/(SUM('[1]Three Statements'!B39,'[1]Three Statements'!B40,'[1]Three Statements'!B43)*(1-'[1]Three Statements'!B15)))</f>
        <v>2.8550089961639002E-2</v>
      </c>
      <c r="C24" s="29">
        <f>('[1]Three Statements'!C10/(SUM('[1]Three Statements'!C39,'[1]Three Statements'!C40,'[1]Three Statements'!C43)*(1-'[1]Three Statements'!C15)))</f>
        <v>1.136783662059326E-2</v>
      </c>
      <c r="D24" s="29">
        <f>('[1]Three Statements'!D10/(SUM('[1]Three Statements'!D39,'[1]Three Statements'!D40,'[1]Three Statements'!D43)*(1-'[1]Three Statements'!D15)))</f>
        <v>1.7882470000893273E-2</v>
      </c>
      <c r="E24" s="29">
        <f>('[1]Three Statements'!E10/(SUM('[1]Three Statements'!E39,'[1]Three Statements'!E40,'[1]Three Statements'!E43)*(1-'[1]Three Statements'!E15)))</f>
        <v>3.1711956853815407E-2</v>
      </c>
      <c r="F24" s="29">
        <f>('[1]Three Statements'!F10/(SUM('[1]Three Statements'!F39,'[1]Three Statements'!F40,'[1]Three Statements'!F43)*(1-'[1]Three Statements'!F15)))</f>
        <v>1.6783251007659258E-2</v>
      </c>
      <c r="G24" s="29">
        <f>('[1]Three Statements'!G10/(SUM('[1]Three Statements'!G39,'[1]Three Statements'!G40,'[1]Three Statements'!G43)*(1-'[1]Three Statements'!G15)))</f>
        <v>1.0479289981130239E-2</v>
      </c>
      <c r="H24" s="29">
        <f>('[1]Three Statements'!H10/(SUM('[1]Three Statements'!H39,'[1]Three Statements'!H40,'[1]Three Statements'!H43)*(1-'[1]Three Statements'!H15)))</f>
        <v>3.2366312093139234E-2</v>
      </c>
      <c r="I24" s="29">
        <f>('[1]Three Statements'!I10/(SUM('[1]Three Statements'!I39,'[1]Three Statements'!I40,'[1]Three Statements'!I43)*(1-'[1]Three Statements'!I15)))</f>
        <v>2.3914481727049144E-2</v>
      </c>
      <c r="J24" s="29">
        <f>('[1]Three Statements'!J10/(SUM('[1]Three Statements'!J39,'[1]Three Statements'!J40,'[1]Three Statements'!J43)*(1-'[1]Three Statements'!J15)))</f>
        <v>2.51612347014557E-2</v>
      </c>
      <c r="K24" s="29">
        <f>('[1]Three Statements'!K10/(SUM('[1]Three Statements'!K39,'[1]Three Statements'!K40,'[1]Three Statements'!K43)*(1-'[1]Three Statements'!K15)))</f>
        <v>2.2834988765617983E-2</v>
      </c>
      <c r="L24" s="29">
        <f>('[1]Three Statements'!L10/(SUM('[1]Three Statements'!L39,'[1]Three Statements'!L40,'[1]Three Statements'!L43)*(1-'[1]Three Statements'!L15)))</f>
        <v>2.2956002219829102E-2</v>
      </c>
      <c r="M24" s="29">
        <f>('[1]Three Statements'!M10/(SUM('[1]Three Statements'!M39,'[1]Three Statements'!M40,'[1]Three Statements'!M43)*(1-'[1]Three Statements'!M15)))</f>
        <v>2.3065280595212671E-2</v>
      </c>
      <c r="N24" s="29">
        <f>('[1]Three Statements'!N10/(SUM('[1]Three Statements'!N39,'[1]Three Statements'!N40,'[1]Three Statements'!N43)*(1-'[1]Three Statements'!N15)))</f>
        <v>2.506220510647144E-2</v>
      </c>
      <c r="O24" s="28">
        <f>N24*(1+$U$24)</f>
        <v>2.4513254063647939E-2</v>
      </c>
      <c r="P24" s="28">
        <f>O24*(1+$U$24)</f>
        <v>2.3976326992623281E-2</v>
      </c>
      <c r="Q24" s="28">
        <f>P24*(1+$U$24)</f>
        <v>2.3451160525835443E-2</v>
      </c>
      <c r="R24" s="28">
        <f>Q24*(1+$U$24)</f>
        <v>2.2937497064404649E-2</v>
      </c>
      <c r="S24" s="28">
        <f>R24*(1+$U$24)</f>
        <v>2.2435084651778812E-2</v>
      </c>
      <c r="T24" s="28">
        <f>S24*(1+$U$24)</f>
        <v>2.194367685014657E-2</v>
      </c>
      <c r="U24" s="27">
        <f>_xlfn.RRI(8,B24,I24)</f>
        <v>-2.1903541228371459E-2</v>
      </c>
      <c r="V24" s="27"/>
    </row>
    <row r="25" spans="1:22" x14ac:dyDescent="0.3">
      <c r="A25" s="6" t="s">
        <v>40</v>
      </c>
      <c r="I25" s="22">
        <f>I15</f>
        <v>8918.3524282062863</v>
      </c>
      <c r="J25" s="22">
        <f>J15</f>
        <v>9217.0129754222544</v>
      </c>
      <c r="K25" s="22">
        <f>K15</f>
        <v>9864.032551921393</v>
      </c>
      <c r="L25" s="22">
        <f>L15</f>
        <v>10569.33033104851</v>
      </c>
      <c r="M25" s="22">
        <f>M15</f>
        <v>11340.113385069928</v>
      </c>
      <c r="N25" s="22">
        <f>N15</f>
        <v>12184.178210511653</v>
      </c>
      <c r="O25" s="22">
        <f>O15</f>
        <v>12784.85415162899</v>
      </c>
      <c r="P25" s="22">
        <f>P15</f>
        <v>13415.143217242972</v>
      </c>
      <c r="Q25" s="22">
        <f>Q15</f>
        <v>14076.505324560911</v>
      </c>
      <c r="R25" s="22">
        <f>R15</f>
        <v>14770.472364223799</v>
      </c>
      <c r="S25" s="22">
        <f>S15</f>
        <v>15498.651748572707</v>
      </c>
      <c r="T25" s="22">
        <f>T15</f>
        <v>16262.730134843523</v>
      </c>
      <c r="U25" s="23"/>
      <c r="V25" s="23"/>
    </row>
    <row r="26" spans="1:22" x14ac:dyDescent="0.3">
      <c r="A26" t="s">
        <v>39</v>
      </c>
      <c r="B26" s="22"/>
      <c r="E26" s="25"/>
      <c r="F26" s="22"/>
      <c r="G26" s="22"/>
      <c r="H26" s="22"/>
      <c r="I26" s="22"/>
      <c r="J26" s="19"/>
      <c r="K26" s="19"/>
      <c r="L26" s="19"/>
      <c r="M26" s="19"/>
      <c r="N26" s="19"/>
      <c r="T26" s="26">
        <f>T25*(1+B35)/(T17-B35)</f>
        <v>269405.90931114333</v>
      </c>
      <c r="U26" s="23"/>
    </row>
    <row r="27" spans="1:22" x14ac:dyDescent="0.3">
      <c r="A27" s="6" t="s">
        <v>38</v>
      </c>
      <c r="E27" s="25"/>
      <c r="I27" s="22">
        <f>SUM(I25:I26)</f>
        <v>8918.3524282062863</v>
      </c>
      <c r="J27" s="22">
        <f>SUM(J25:J26)</f>
        <v>9217.0129754222544</v>
      </c>
      <c r="K27" s="22">
        <f>SUM(K25:K26)</f>
        <v>9864.032551921393</v>
      </c>
      <c r="L27" s="22">
        <f>SUM(L25:L26)</f>
        <v>10569.33033104851</v>
      </c>
      <c r="M27" s="22">
        <f>SUM(M25:M26)</f>
        <v>11340.113385069928</v>
      </c>
      <c r="N27" s="22">
        <f>SUM(N25:N26)</f>
        <v>12184.178210511653</v>
      </c>
      <c r="O27" s="22">
        <f>SUM(O25:O26)</f>
        <v>12784.85415162899</v>
      </c>
      <c r="P27" s="22">
        <f>SUM(P25:P26)</f>
        <v>13415.143217242972</v>
      </c>
      <c r="Q27" s="22">
        <f>SUM(Q25:Q26)</f>
        <v>14076.505324560911</v>
      </c>
      <c r="R27" s="22">
        <f>SUM(R25:R26)</f>
        <v>14770.472364223799</v>
      </c>
      <c r="S27" s="22">
        <f>SUM(S25:S26)</f>
        <v>15498.651748572707</v>
      </c>
      <c r="T27" s="22">
        <f>SUM(T25:T26)</f>
        <v>285668.63944598683</v>
      </c>
      <c r="U27" s="23"/>
    </row>
    <row r="28" spans="1:22" x14ac:dyDescent="0.3">
      <c r="A28" t="s">
        <v>37</v>
      </c>
      <c r="I28" s="24">
        <f>PV(I17,I14,,-I27)</f>
        <v>8918.3524282062863</v>
      </c>
      <c r="J28" s="24">
        <f>PV(J17,J14,,-J27)</f>
        <v>8491.8940377379186</v>
      </c>
      <c r="K28" s="24">
        <f>PV(K17,K14,,-K27)</f>
        <v>8413.9390780637186</v>
      </c>
      <c r="L28" s="24">
        <f>PV(L17,L14,,-L27)</f>
        <v>8361.8823756429283</v>
      </c>
      <c r="M28" s="24">
        <f>PV(M17,M14,,-M27)</f>
        <v>8324.668174203227</v>
      </c>
      <c r="N28" s="24">
        <f>PV(N17,N14,,-N27)</f>
        <v>8203.3977543174515</v>
      </c>
      <c r="O28" s="24">
        <f>PV(O17,O14,,-O27)</f>
        <v>7938.259469085805</v>
      </c>
      <c r="P28" s="24">
        <f>PV(P17,P14,,-P27)</f>
        <v>7704.6072882557128</v>
      </c>
      <c r="Q28" s="24">
        <f>PV(Q17,Q14,,-Q27)</f>
        <v>7480.8260643398135</v>
      </c>
      <c r="R28" s="24">
        <f>PV(R17,R14,,-R27)</f>
        <v>7266.4374422900273</v>
      </c>
      <c r="S28" s="24">
        <f>PV(S17,S14,,-S27)</f>
        <v>7060.9923132950453</v>
      </c>
      <c r="T28" s="24">
        <f>PV(T17,T14,,-T27)</f>
        <v>120573.18692006283</v>
      </c>
      <c r="U28" s="23"/>
      <c r="V28" s="23"/>
    </row>
    <row r="29" spans="1:22" ht="15" thickBot="1" x14ac:dyDescent="0.35">
      <c r="B29" s="22"/>
      <c r="J29" s="19"/>
      <c r="K29" s="19"/>
      <c r="L29" s="19"/>
      <c r="M29" s="19"/>
      <c r="N29" s="19"/>
    </row>
    <row r="30" spans="1:22" x14ac:dyDescent="0.3">
      <c r="A30" s="21" t="s">
        <v>36</v>
      </c>
      <c r="B30" s="20">
        <f>SUM(I28:T28)</f>
        <v>208738.44334550077</v>
      </c>
      <c r="I30" s="19"/>
      <c r="J30" s="19"/>
      <c r="K30" s="19"/>
      <c r="L30" s="19"/>
      <c r="M30" s="19"/>
      <c r="N30" s="19"/>
    </row>
    <row r="31" spans="1:22" x14ac:dyDescent="0.3">
      <c r="A31" s="17" t="s">
        <v>35</v>
      </c>
      <c r="B31" s="18">
        <f>SUM('[1]Three Statements'!I39,'[1]Three Statements'!I40,'[1]Three Statements'!I43)</f>
        <v>9430</v>
      </c>
    </row>
    <row r="32" spans="1:22" x14ac:dyDescent="0.3">
      <c r="A32" s="17" t="s">
        <v>34</v>
      </c>
      <c r="B32" s="16">
        <f>B30-B31+'[1]Three Statements'!I25</f>
        <v>207882.44334550077</v>
      </c>
    </row>
    <row r="33" spans="1:3" ht="15" thickBot="1" x14ac:dyDescent="0.35">
      <c r="A33" s="15" t="s">
        <v>33</v>
      </c>
      <c r="B33" s="14">
        <f>B32/'[1]Three Statements'!I17</f>
        <v>129.0554031198788</v>
      </c>
    </row>
    <row r="35" spans="1:3" x14ac:dyDescent="0.3">
      <c r="A35" t="s">
        <v>32</v>
      </c>
      <c r="B35" s="13">
        <v>0.02</v>
      </c>
      <c r="C35" s="9" t="s">
        <v>31</v>
      </c>
    </row>
    <row r="36" spans="1:3" x14ac:dyDescent="0.3">
      <c r="A36" t="s">
        <v>162</v>
      </c>
      <c r="B36" s="12">
        <v>117.01</v>
      </c>
      <c r="C36" s="9"/>
    </row>
    <row r="37" spans="1:3" x14ac:dyDescent="0.3">
      <c r="A37" t="s">
        <v>30</v>
      </c>
      <c r="B37" s="11">
        <f>(T3-B36)/B36</f>
        <v>0.82692646712450857</v>
      </c>
      <c r="C37" s="9"/>
    </row>
    <row r="38" spans="1:3" x14ac:dyDescent="0.3">
      <c r="A38" t="s">
        <v>29</v>
      </c>
      <c r="B38" s="10">
        <f>T3-B36</f>
        <v>96.758665918238748</v>
      </c>
      <c r="C38" s="9" t="str">
        <f>IF(B38&gt;0,"Buy","Sell")</f>
        <v>Buy</v>
      </c>
    </row>
    <row r="40" spans="1:3" ht="15.6" x14ac:dyDescent="0.3">
      <c r="A40" s="8" t="s">
        <v>28</v>
      </c>
    </row>
    <row r="41" spans="1:3" x14ac:dyDescent="0.3">
      <c r="A41" s="7" t="s">
        <v>27</v>
      </c>
    </row>
    <row r="42" spans="1:3" x14ac:dyDescent="0.3">
      <c r="A42" s="7" t="s">
        <v>26</v>
      </c>
    </row>
    <row r="43" spans="1:3" x14ac:dyDescent="0.3">
      <c r="A43" s="7" t="s">
        <v>25</v>
      </c>
    </row>
  </sheetData>
  <hyperlinks>
    <hyperlink ref="A41" r:id="rId1" display="https://www.slickcharts.com/sp500/returns" xr:uid="{303E863B-467D-4FEC-A75F-993857282CD0}"/>
    <hyperlink ref="A42" r:id="rId2" display="https://home.treasury.gov/resource-center/data-chart-center/interest-rates/TextView?type=daily_treasury_yield_curve&amp;field_tdr_date_value=2015" xr:uid="{A50964BE-473F-40B4-99C6-072AD3AFC0F6}"/>
    <hyperlink ref="A43" r:id="rId3" display="https://econforecasting.com/forecast/t10y" xr:uid="{C973CA2F-095A-4F33-9F23-E43F56CD74A3}"/>
  </hyperlinks>
  <pageMargins left="0.7" right="0.7" top="0.75" bottom="0.75" header="0.3" footer="0.3"/>
  <pageSetup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Normal="100" workbookViewId="0">
      <selection activeCell="R17" sqref="R17"/>
    </sheetView>
  </sheetViews>
  <sheetFormatPr defaultRowHeight="14.4" x14ac:dyDescent="0.3"/>
  <cols>
    <col min="1" max="1" width="109.21875" customWidth="1"/>
    <col min="4" max="4" width="19.33203125" customWidth="1"/>
    <col min="5" max="5" width="8.21875" customWidth="1"/>
    <col min="9" max="9" width="9.109375" bestFit="1" customWidth="1"/>
    <col min="11" max="19" width="9.5546875" bestFit="1" customWidth="1"/>
    <col min="20" max="22" width="10.5546875" bestFit="1" customWidth="1"/>
  </cols>
  <sheetData>
    <row r="1" spans="1:22" ht="46.8" customHeight="1" x14ac:dyDescent="0.45">
      <c r="A1" s="5" t="s">
        <v>15</v>
      </c>
      <c r="B1" s="5"/>
      <c r="C1" s="5"/>
      <c r="D1" s="5"/>
      <c r="E1" s="5"/>
      <c r="F1" s="5"/>
      <c r="G1" s="5"/>
      <c r="H1" s="5"/>
    </row>
    <row r="2" spans="1:22" x14ac:dyDescent="0.3">
      <c r="D2" s="158" t="s">
        <v>164</v>
      </c>
      <c r="E2" s="158"/>
      <c r="F2" s="158"/>
      <c r="G2" s="158"/>
      <c r="H2" s="158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pans="1:22" ht="18" x14ac:dyDescent="0.35">
      <c r="A3" t="s">
        <v>16</v>
      </c>
      <c r="D3" s="159"/>
      <c r="E3" s="159"/>
      <c r="F3" s="159"/>
      <c r="G3" s="159"/>
      <c r="H3" s="159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2" x14ac:dyDescent="0.3">
      <c r="A4" s="6" t="s">
        <v>17</v>
      </c>
      <c r="D4" s="2"/>
      <c r="E4" s="2">
        <v>2022</v>
      </c>
      <c r="F4" s="2" t="s">
        <v>22</v>
      </c>
      <c r="G4" s="2" t="s">
        <v>23</v>
      </c>
      <c r="H4" s="1" t="s">
        <v>24</v>
      </c>
      <c r="I4" s="164">
        <v>117.01</v>
      </c>
      <c r="J4" s="163"/>
    </row>
    <row r="5" spans="1:22" x14ac:dyDescent="0.3">
      <c r="A5" s="6" t="s">
        <v>18</v>
      </c>
      <c r="D5" s="3" t="s">
        <v>1</v>
      </c>
      <c r="E5" s="74">
        <f>+'Three Statements'!I3</f>
        <v>46710</v>
      </c>
      <c r="F5" s="74">
        <f>+'Three Statements'!J3</f>
        <v>48274.238941302261</v>
      </c>
      <c r="G5" s="74">
        <f>+'Three Statements'!K3</f>
        <v>51663.013343476596</v>
      </c>
      <c r="H5" s="74">
        <f>+'Three Statements'!L3</f>
        <v>55357.020675910935</v>
      </c>
      <c r="I5" s="164">
        <v>109.69</v>
      </c>
      <c r="J5" s="162"/>
    </row>
    <row r="6" spans="1:22" x14ac:dyDescent="0.3">
      <c r="A6" t="s">
        <v>21</v>
      </c>
      <c r="D6" s="3" t="s">
        <v>5</v>
      </c>
      <c r="E6" s="74">
        <f>+'Three Statements'!I5</f>
        <v>7573</v>
      </c>
      <c r="F6" s="74">
        <f>+'Three Statements'!J5</f>
        <v>8086.4839699854401</v>
      </c>
      <c r="G6" s="74">
        <f>+'Three Statements'!K5</f>
        <v>8671.8983670502039</v>
      </c>
      <c r="H6" s="74">
        <f>+'Three Statements'!L5</f>
        <v>9339.0622108830576</v>
      </c>
      <c r="I6" s="164">
        <v>92.68</v>
      </c>
      <c r="J6" s="109"/>
    </row>
    <row r="7" spans="1:22" x14ac:dyDescent="0.3">
      <c r="A7" s="6" t="s">
        <v>19</v>
      </c>
      <c r="D7" s="3" t="s">
        <v>0</v>
      </c>
      <c r="E7" s="157">
        <f>+'Three Statements'!I18</f>
        <v>3.75</v>
      </c>
      <c r="F7" s="157">
        <f>+'Three Statements'!J18</f>
        <v>4.1227681549811583</v>
      </c>
      <c r="G7" s="157">
        <f>+'Three Statements'!K18</f>
        <v>4.5231366801783022</v>
      </c>
      <c r="H7" s="157">
        <f>+'Three Statements'!L18</f>
        <v>4.9784519549921447</v>
      </c>
      <c r="I7" s="164">
        <v>83.12</v>
      </c>
      <c r="J7" s="162"/>
    </row>
    <row r="8" spans="1:22" x14ac:dyDescent="0.3">
      <c r="A8" t="s">
        <v>20</v>
      </c>
      <c r="D8" s="3" t="s">
        <v>6</v>
      </c>
      <c r="E8" s="74">
        <f>+'Three Statements'!I77</f>
        <v>16466</v>
      </c>
      <c r="F8" s="74">
        <f>+'Three Statements'!J77</f>
        <v>19251.108168158455</v>
      </c>
      <c r="G8" s="74">
        <f>+'Three Statements'!K77</f>
        <v>21373.47229061733</v>
      </c>
      <c r="H8" s="74">
        <f>+'Three Statements'!L77</f>
        <v>26047.507831113653</v>
      </c>
      <c r="I8" s="164">
        <v>106.45</v>
      </c>
      <c r="J8" s="109"/>
    </row>
    <row r="9" spans="1:22" x14ac:dyDescent="0.3">
      <c r="D9" s="3" t="s">
        <v>7</v>
      </c>
      <c r="E9" s="74">
        <f>+'Three Statements'!I61</f>
        <v>8918.3524282062863</v>
      </c>
      <c r="F9" s="74">
        <f>+'Three Statements'!J61</f>
        <v>9217.0129754222544</v>
      </c>
      <c r="G9" s="74">
        <f>+'Three Statements'!K61</f>
        <v>9864.032551921393</v>
      </c>
      <c r="H9" s="74">
        <f>+'Three Statements'!L61</f>
        <v>10569.33033104851</v>
      </c>
      <c r="I9" s="164">
        <v>114.92</v>
      </c>
      <c r="J9" s="162"/>
    </row>
    <row r="10" spans="1:22" x14ac:dyDescent="0.3">
      <c r="D10" s="3" t="s">
        <v>4</v>
      </c>
      <c r="E10" s="154">
        <f>+Schedules!I12</f>
        <v>0.3956547346377855</v>
      </c>
      <c r="F10" s="154">
        <f>+Schedules!J12</f>
        <v>0.46508084150820106</v>
      </c>
      <c r="G10" s="154">
        <f>+Schedules!K12</f>
        <v>0.49205425935769975</v>
      </c>
      <c r="H10" s="154">
        <f>+Schedules!L12</f>
        <v>0.62720104730277726</v>
      </c>
      <c r="I10" s="164">
        <v>102.2</v>
      </c>
      <c r="J10" s="109"/>
    </row>
    <row r="11" spans="1:22" x14ac:dyDescent="0.3">
      <c r="D11" s="3" t="s">
        <v>163</v>
      </c>
      <c r="E11" s="153">
        <f>+Schedules!I6</f>
        <v>30.244461792920937</v>
      </c>
      <c r="F11" s="153">
        <f>+Schedules!$B$36/Schedules!J5</f>
        <v>28.381416466173988</v>
      </c>
      <c r="G11" s="153">
        <f>+Schedules!$B$36/Schedules!K5</f>
        <v>25.869216049289818</v>
      </c>
      <c r="H11" s="153">
        <f>+Schedules!$B$36/Schedules!L5</f>
        <v>23.503289990107906</v>
      </c>
      <c r="I11" s="164">
        <v>118.85</v>
      </c>
      <c r="J11" s="162"/>
    </row>
    <row r="12" spans="1:22" x14ac:dyDescent="0.3">
      <c r="D12" s="4" t="s">
        <v>3</v>
      </c>
      <c r="E12" s="155">
        <f>+Schedules!I8</f>
        <v>24.259080417271882</v>
      </c>
      <c r="F12" s="155">
        <f>+Schedules!J8</f>
        <v>24.874017622313719</v>
      </c>
      <c r="G12" s="155">
        <f>+Schedules!K8</f>
        <v>25.386639740007411</v>
      </c>
      <c r="H12" s="155">
        <f>+Schedules!L8</f>
        <v>26.019364646269175</v>
      </c>
      <c r="I12" s="164">
        <v>124.7</v>
      </c>
      <c r="J12" s="109"/>
    </row>
    <row r="13" spans="1:22" x14ac:dyDescent="0.3">
      <c r="I13" s="164">
        <v>134.56</v>
      </c>
      <c r="J13" s="162"/>
    </row>
    <row r="14" spans="1:22" x14ac:dyDescent="0.3">
      <c r="I14" s="164">
        <v>136.55000000000001</v>
      </c>
      <c r="J14" s="109"/>
    </row>
    <row r="15" spans="1:22" x14ac:dyDescent="0.3">
      <c r="D15" s="2"/>
      <c r="E15" s="2">
        <v>2022</v>
      </c>
      <c r="F15" s="2" t="s">
        <v>22</v>
      </c>
      <c r="G15" s="2" t="s">
        <v>23</v>
      </c>
      <c r="H15" s="1" t="s">
        <v>24</v>
      </c>
      <c r="I15" s="164">
        <v>148.07</v>
      </c>
      <c r="J15" s="162"/>
    </row>
    <row r="16" spans="1:22" x14ac:dyDescent="0.3">
      <c r="D16" s="3" t="s">
        <v>8</v>
      </c>
      <c r="E16" s="154">
        <f>+'Three Statements'!I4</f>
        <v>4.8767344739323759E-2</v>
      </c>
      <c r="F16" s="154">
        <f>+'Three Statements'!J4</f>
        <v>3.3488309597565102E-2</v>
      </c>
      <c r="G16" s="154">
        <f>+'Three Statements'!K4</f>
        <v>7.0198401393646526E-2</v>
      </c>
      <c r="H16" s="154">
        <f>+'Three Statements'!L4</f>
        <v>7.1501971978968459E-2</v>
      </c>
      <c r="I16" s="164"/>
    </row>
    <row r="17" spans="4:9" x14ac:dyDescent="0.3">
      <c r="D17" s="3" t="s">
        <v>9</v>
      </c>
      <c r="E17" s="154">
        <f>+'Three Statements'!I8</f>
        <v>-9.67788530983682E-3</v>
      </c>
      <c r="F17" s="154">
        <f>+'Three Statements'!J8</f>
        <v>7.1616789917778867E-2</v>
      </c>
      <c r="G17" s="154">
        <f>+'Three Statements'!K8</f>
        <v>7.6384328919678168E-2</v>
      </c>
      <c r="H17" s="154">
        <f>+'Three Statements'!L8</f>
        <v>8.1065467991378926E-2</v>
      </c>
      <c r="I17" s="164"/>
    </row>
    <row r="18" spans="4:9" x14ac:dyDescent="0.3">
      <c r="D18" s="3" t="s">
        <v>10</v>
      </c>
      <c r="E18" s="154">
        <f>+'Three Statements'!I16/'Three Statements'!H16-1</f>
        <v>5.5701065130085547E-2</v>
      </c>
      <c r="F18" s="154">
        <f>+'Three Statements'!J16/'Three Statements'!I16-1</f>
        <v>7.6724972031469552E-2</v>
      </c>
      <c r="G18" s="154">
        <f>+'Three Statements'!K16/'Three Statements'!J16-1</f>
        <v>7.7179796503585196E-2</v>
      </c>
      <c r="H18" s="154">
        <f>+'Three Statements'!L16/'Three Statements'!K16-1</f>
        <v>8.22872970190478E-2</v>
      </c>
      <c r="I18" s="164"/>
    </row>
    <row r="19" spans="4:9" x14ac:dyDescent="0.3">
      <c r="D19" s="3" t="s">
        <v>11</v>
      </c>
      <c r="E19" s="154">
        <f>+'Three Statements'!I19</f>
        <v>5.3370786516854007E-2</v>
      </c>
      <c r="F19" s="154">
        <f>+'Three Statements'!J19</f>
        <v>9.9404841328308846E-2</v>
      </c>
      <c r="G19" s="154">
        <f>+'Three Statements'!K19</f>
        <v>9.7111578955371369E-2</v>
      </c>
      <c r="H19" s="154">
        <f>+'Three Statements'!L19</f>
        <v>0.10066361178276262</v>
      </c>
      <c r="I19" s="164"/>
    </row>
    <row r="20" spans="4:9" x14ac:dyDescent="0.3">
      <c r="D20" s="3" t="s">
        <v>12</v>
      </c>
      <c r="E20" s="154">
        <f>+'Three Statements'!I5/'Three Statements'!I3</f>
        <v>0.16212802397773496</v>
      </c>
      <c r="F20" s="154">
        <f>+'Three Statements'!J5/'Three Statements'!J3</f>
        <v>0.16751137143390243</v>
      </c>
      <c r="G20" s="154">
        <f>+'Three Statements'!K5/'Three Statements'!K3</f>
        <v>0.1678550631453864</v>
      </c>
      <c r="H20" s="154">
        <f>+'Three Statements'!L5/'Three Statements'!L3</f>
        <v>0.16870601229713628</v>
      </c>
      <c r="I20" s="165">
        <v>3839</v>
      </c>
    </row>
    <row r="21" spans="4:9" x14ac:dyDescent="0.3">
      <c r="D21" s="3" t="s">
        <v>13</v>
      </c>
      <c r="E21" s="154">
        <f>+'Three Statements'!I9</f>
        <v>0.14677799186469706</v>
      </c>
      <c r="F21" s="154">
        <f>+'Three Statements'!J9</f>
        <v>0.15219307176669697</v>
      </c>
      <c r="G21" s="154">
        <f>+'Three Statements'!K9</f>
        <v>0.15307277342826453</v>
      </c>
      <c r="H21" s="154">
        <f>+'Three Statements'!L9</f>
        <v>0.15443899663323549</v>
      </c>
      <c r="I21" s="165">
        <v>4080</v>
      </c>
    </row>
    <row r="22" spans="4:9" x14ac:dyDescent="0.3">
      <c r="D22" s="4" t="s">
        <v>14</v>
      </c>
      <c r="E22" s="156">
        <f>+'Three Statements'!I16/'Three Statements'!I3</f>
        <v>0.12943695140226932</v>
      </c>
      <c r="F22" s="156">
        <f>+'Three Statements'!J16/'Three Statements'!J3</f>
        <v>0.13485203130426923</v>
      </c>
      <c r="G22" s="156">
        <f>+'Three Statements'!K16/'Three Statements'!K3</f>
        <v>0.13573173296583677</v>
      </c>
      <c r="H22" s="156">
        <f>+'Three Statements'!L16/'Three Statements'!L3</f>
        <v>0.13709795617080772</v>
      </c>
      <c r="I22" s="165">
        <v>3871</v>
      </c>
    </row>
    <row r="23" spans="4:9" x14ac:dyDescent="0.3">
      <c r="I23" s="165">
        <v>3585</v>
      </c>
    </row>
    <row r="24" spans="4:9" x14ac:dyDescent="0.3">
      <c r="I24" s="165">
        <v>3955</v>
      </c>
    </row>
    <row r="25" spans="4:9" x14ac:dyDescent="0.3">
      <c r="I25" s="165">
        <v>4130</v>
      </c>
    </row>
    <row r="26" spans="4:9" x14ac:dyDescent="0.3">
      <c r="I26" s="165">
        <v>3785</v>
      </c>
    </row>
    <row r="27" spans="4:9" x14ac:dyDescent="0.3">
      <c r="I27" s="165">
        <v>4132</v>
      </c>
    </row>
    <row r="28" spans="4:9" x14ac:dyDescent="0.3">
      <c r="I28" s="165">
        <v>4131</v>
      </c>
    </row>
    <row r="29" spans="4:9" x14ac:dyDescent="0.3">
      <c r="I29" s="165">
        <v>4530</v>
      </c>
    </row>
    <row r="30" spans="4:9" x14ac:dyDescent="0.3">
      <c r="I30" s="165">
        <v>4373</v>
      </c>
    </row>
    <row r="31" spans="4:9" x14ac:dyDescent="0.3">
      <c r="I31" s="165">
        <v>4515</v>
      </c>
    </row>
  </sheetData>
  <mergeCells count="1">
    <mergeCell ref="D2:H3"/>
  </mergeCells>
  <phoneticPr fontId="2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Three Statements</vt:lpstr>
      <vt:lpstr>Schedules</vt:lpstr>
      <vt:lpstr>Investment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Caden Sorensen</dc:creator>
  <cp:lastModifiedBy>Caden Sorensen</cp:lastModifiedBy>
  <dcterms:created xsi:type="dcterms:W3CDTF">2020-08-06T15:54:49Z</dcterms:created>
  <dcterms:modified xsi:type="dcterms:W3CDTF">2024-12-16T17:31:43Z</dcterms:modified>
</cp:coreProperties>
</file>