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Dhrashti\Desktop\Quill Capital Partner - Trainee Investment Analyst\"/>
    </mc:Choice>
  </mc:AlternateContent>
  <xr:revisionPtr revIDLastSave="0" documentId="13_ncr:1_{F489E7AC-BA0B-4EB0-BEDE-B962748FB0A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Instructions" sheetId="2" r:id="rId1"/>
    <sheet name="Financial Statements" sheetId="1" r:id="rId2"/>
    <sheet name="List of Ratios" sheetId="3" r:id="rId3"/>
    <sheet name="Graph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3" l="1"/>
  <c r="E8" i="3"/>
  <c r="C8" i="3"/>
  <c r="D9" i="3"/>
  <c r="E9" i="3"/>
  <c r="C9" i="3"/>
  <c r="D43" i="4"/>
  <c r="E43" i="4"/>
  <c r="D41" i="4"/>
  <c r="E41" i="4"/>
  <c r="D39" i="4"/>
  <c r="E39" i="4"/>
  <c r="D78" i="3"/>
  <c r="E78" i="3"/>
  <c r="C78" i="3"/>
  <c r="D80" i="3"/>
  <c r="E80" i="3"/>
  <c r="D79" i="3"/>
  <c r="E79" i="3"/>
  <c r="C80" i="3"/>
  <c r="C79" i="3"/>
  <c r="D70" i="3"/>
  <c r="E70" i="3"/>
  <c r="D71" i="3"/>
  <c r="E71" i="3"/>
  <c r="D72" i="3"/>
  <c r="E72" i="3"/>
  <c r="D73" i="3"/>
  <c r="E73" i="3"/>
  <c r="D74" i="3"/>
  <c r="E74" i="3"/>
  <c r="D75" i="3"/>
  <c r="E75" i="3"/>
  <c r="D76" i="3"/>
  <c r="E76" i="3"/>
  <c r="C76" i="3"/>
  <c r="C75" i="3"/>
  <c r="C74" i="3"/>
  <c r="C73" i="3"/>
  <c r="C72" i="3"/>
  <c r="C71" i="3"/>
  <c r="C70" i="3"/>
  <c r="D67" i="3"/>
  <c r="D66" i="3"/>
  <c r="D65" i="3"/>
  <c r="D64" i="3"/>
  <c r="C64" i="3"/>
  <c r="C65" i="3"/>
  <c r="C66" i="3"/>
  <c r="C67" i="3"/>
  <c r="D63" i="3"/>
  <c r="C63" i="3"/>
  <c r="D62" i="3"/>
  <c r="C62" i="3"/>
  <c r="D61" i="3"/>
  <c r="C61" i="3"/>
  <c r="D60" i="3"/>
  <c r="C60" i="3"/>
  <c r="D59" i="3"/>
  <c r="C59" i="3"/>
  <c r="D58" i="3"/>
  <c r="C58" i="3"/>
  <c r="D57" i="3"/>
  <c r="C57" i="3"/>
  <c r="D53" i="3"/>
  <c r="D54" i="3"/>
  <c r="E54" i="3"/>
  <c r="E53" i="3" s="1"/>
  <c r="C54" i="3"/>
  <c r="C53" i="3" s="1"/>
  <c r="D51" i="3"/>
  <c r="C51" i="3"/>
  <c r="D49" i="3"/>
  <c r="C49" i="3"/>
  <c r="D47" i="3"/>
  <c r="E47" i="3"/>
  <c r="C47" i="3"/>
  <c r="D46" i="3"/>
  <c r="E46" i="3"/>
  <c r="C46" i="3"/>
  <c r="D44" i="3"/>
  <c r="E44" i="3"/>
  <c r="D45" i="3"/>
  <c r="E45" i="3"/>
  <c r="C45" i="3"/>
  <c r="C44" i="3" s="1"/>
  <c r="E42" i="3"/>
  <c r="D43" i="3"/>
  <c r="D42" i="3" s="1"/>
  <c r="E43" i="3"/>
  <c r="C43" i="3"/>
  <c r="C42" i="3" s="1"/>
  <c r="D39" i="3"/>
  <c r="C39" i="3"/>
  <c r="D38" i="3"/>
  <c r="C38" i="3"/>
  <c r="D37" i="3"/>
  <c r="C37" i="3"/>
  <c r="D36" i="3"/>
  <c r="C36" i="3"/>
  <c r="D33" i="3"/>
  <c r="D32" i="3" s="1"/>
  <c r="E33" i="3"/>
  <c r="E32" i="3" s="1"/>
  <c r="C33" i="3"/>
  <c r="C32" i="3" s="1"/>
  <c r="D28" i="3"/>
  <c r="E28" i="3"/>
  <c r="C28" i="3"/>
  <c r="D27" i="3"/>
  <c r="E27" i="3"/>
  <c r="C27" i="3"/>
  <c r="D26" i="3"/>
  <c r="E26" i="3"/>
  <c r="C26" i="3"/>
  <c r="D23" i="3"/>
  <c r="E23" i="3"/>
  <c r="C23" i="3"/>
  <c r="D22" i="3"/>
  <c r="D21" i="3" s="1"/>
  <c r="E22" i="3"/>
  <c r="E50" i="3" s="1"/>
  <c r="C22" i="3"/>
  <c r="C21" i="3" s="1"/>
  <c r="D20" i="3"/>
  <c r="D19" i="3" s="1"/>
  <c r="E20" i="3"/>
  <c r="E19" i="3" s="1"/>
  <c r="C20" i="3"/>
  <c r="C19" i="3" s="1"/>
  <c r="D18" i="3"/>
  <c r="E18" i="3"/>
  <c r="C18" i="3"/>
  <c r="C12" i="3"/>
  <c r="C11" i="3"/>
  <c r="D12" i="3"/>
  <c r="D11" i="3"/>
  <c r="C10" i="3"/>
  <c r="D10" i="3"/>
  <c r="D15" i="3"/>
  <c r="D14" i="3" s="1"/>
  <c r="E15" i="3"/>
  <c r="E14" i="3" s="1"/>
  <c r="C15" i="3"/>
  <c r="C14" i="3" s="1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D52" i="3" l="1"/>
  <c r="D50" i="3"/>
  <c r="E52" i="3"/>
  <c r="C52" i="3"/>
  <c r="C50" i="3"/>
  <c r="E21" i="3"/>
  <c r="C13" i="3"/>
  <c r="D13" i="3"/>
  <c r="D68" i="1"/>
  <c r="C68" i="1"/>
  <c r="B68" i="1"/>
  <c r="D61" i="1"/>
  <c r="C61" i="1"/>
  <c r="B61" i="1"/>
  <c r="D56" i="1"/>
  <c r="C56" i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C62" i="1" l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9" i="3"/>
  <c r="A51" i="3" s="1"/>
  <c r="A17" i="3"/>
  <c r="A18" i="3" s="1"/>
  <c r="A19" i="3" s="1"/>
  <c r="A21" i="3" s="1"/>
  <c r="A23" i="3" s="1"/>
  <c r="A5" i="3"/>
  <c r="A6" i="3" s="1"/>
  <c r="A7" i="3" s="1"/>
  <c r="A8" i="3" s="1"/>
  <c r="A10" i="3" s="1"/>
  <c r="A11" i="3" s="1"/>
  <c r="A12" i="3" s="1"/>
  <c r="A13" i="3" s="1"/>
  <c r="A14" i="3" s="1"/>
  <c r="A25" i="3" l="1"/>
  <c r="A26" i="3" s="1"/>
  <c r="A27" i="3" s="1"/>
  <c r="A28" i="3" s="1"/>
  <c r="A29" i="3" s="1"/>
  <c r="A30" i="3" s="1"/>
  <c r="A32" i="3" s="1"/>
  <c r="A35" i="3" l="1"/>
  <c r="A41" i="3" s="1"/>
  <c r="A42" i="3" l="1"/>
  <c r="A43" i="3" s="1"/>
  <c r="A44" i="3" s="1"/>
  <c r="A45" i="3" s="1"/>
  <c r="A46" i="3" s="1"/>
  <c r="A48" i="3" s="1"/>
  <c r="A50" i="3" s="1"/>
  <c r="A52" i="3" s="1"/>
  <c r="A56" i="3"/>
  <c r="A36" i="3"/>
  <c r="A37" i="3" s="1"/>
  <c r="A38" i="3" s="1"/>
  <c r="A39" i="3" s="1"/>
  <c r="A57" i="3" l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9" i="3"/>
  <c r="A78" i="3" l="1"/>
  <c r="A79" i="3" s="1"/>
  <c r="A80" i="3" s="1"/>
  <c r="A70" i="3"/>
  <c r="A71" i="3" s="1"/>
  <c r="A72" i="3" s="1"/>
  <c r="A73" i="3" s="1"/>
  <c r="A74" i="3" s="1"/>
  <c r="A75" i="3" s="1"/>
  <c r="A76" i="3" s="1"/>
</calcChain>
</file>

<file path=xl/sharedStrings.xml><?xml version="1.0" encoding="utf-8"?>
<sst xmlns="http://schemas.openxmlformats.org/spreadsheetml/2006/main" count="255" uniqueCount="164">
  <si>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</si>
  <si>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</si>
  <si>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</si>
  <si>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</si>
  <si>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</si>
  <si>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</si>
  <si>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</si>
  <si>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</si>
  <si>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</si>
  <si>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</si>
  <si>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</si>
  <si>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</si>
  <si>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</si>
  <si>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</si>
  <si>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</si>
  <si>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</si>
  <si>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</si>
  <si>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</si>
  <si>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</si>
  <si>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</si>
  <si>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</si>
  <si>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</si>
  <si>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</si>
  <si>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</si>
  <si>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</si>
  <si>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</si>
  <si>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</si>
  <si>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</si>
  <si>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</si>
  <si>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</si>
  <si>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</si>
  <si>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</si>
  <si>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</si>
  <si>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</si>
  <si>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</si>
  <si>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</si>
  <si>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</si>
  <si>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</si>
  <si>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</si>
  <si>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</si>
  <si>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</si>
  <si>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</si>
  <si>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</si>
  <si>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</si>
  <si>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</si>
  <si>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</si>
  <si>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</si>
  <si>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</si>
  <si>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</si>
  <si>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</si>
  <si>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</si>
  <si>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</si>
  <si>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</si>
  <si>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</si>
  <si>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</si>
  <si>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</si>
  <si>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</si>
  <si>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</si>
  <si>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</si>
  <si>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</si>
  <si>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</si>
  <si>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</si>
  <si>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</si>
  <si>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</si>
  <si>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</si>
  <si>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</si>
  <si>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</si>
  <si>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</si>
  <si>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</si>
  <si>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</si>
  <si>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</si>
  <si>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</si>
  <si>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</si>
  <si>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</si>
  <si>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</si>
  <si>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</si>
  <si>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</si>
  <si>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</si>
  <si>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</si>
  <si>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</si>
  <si>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</si>
  <si>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</si>
  <si>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</si>
  <si>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</si>
  <si>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</si>
  <si>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</si>
  <si>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</si>
  <si>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</si>
  <si>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</si>
  <si>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</si>
  <si>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</si>
  <si>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</si>
  <si>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</si>
  <si>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</si>
  <si>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</si>
  <si>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</si>
  <si>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</si>
  <si>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</si>
  <si>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</si>
  <si>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</si>
  <si>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</si>
  <si>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</si>
  <si>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</si>
  <si>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</si>
  <si>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</si>
  <si>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</si>
  <si>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</si>
  <si>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</si>
  <si>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</si>
  <si>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</si>
  <si>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</si>
  <si>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</si>
  <si>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</si>
  <si>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</si>
  <si>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</si>
  <si>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</si>
  <si>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</si>
  <si>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</si>
  <si>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</si>
  <si>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</si>
  <si>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</si>
  <si>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</si>
  <si>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</si>
  <si>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</si>
  <si>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</si>
  <si>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</si>
  <si>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</si>
  <si>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</si>
  <si>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</si>
  <si>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</si>
  <si>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</si>
  <si>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</si>
  <si>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</si>
  <si>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</si>
  <si>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</si>
  <si>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</si>
  <si>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</si>
  <si>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</si>
  <si>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</si>
  <si>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</si>
  <si>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</si>
  <si>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</si>
  <si>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</si>
  <si>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</si>
  <si>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</si>
  <si>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</si>
  <si>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</si>
  <si>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</si>
  <si>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</si>
  <si>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</si>
  <si>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-</t>
  </si>
  <si>
    <t>Price per share</t>
  </si>
  <si>
    <t xml:space="preserve">   Market Capitalization</t>
  </si>
  <si>
    <t>Growth Rate</t>
  </si>
  <si>
    <t xml:space="preserve">  Products</t>
  </si>
  <si>
    <t xml:space="preserve">  Services</t>
  </si>
  <si>
    <t>Margins</t>
  </si>
  <si>
    <t xml:space="preserve">  Research and development</t>
  </si>
  <si>
    <t xml:space="preserve">  Selling, general and administrative</t>
  </si>
  <si>
    <t>Solvency</t>
  </si>
  <si>
    <t>Efficiency</t>
  </si>
  <si>
    <t>Valuation</t>
  </si>
  <si>
    <t>Price to earnings (P/E)</t>
  </si>
  <si>
    <t>Daily Operating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</si>
</sst>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10" fontId="0" fillId="0" borderId="0" xfId="3" applyNumberFormat="1" applyFont="1"/>
    <xf numFmtId="0" fontId="0" fillId="0" borderId="0" xfId="0" applyAlignment="1">
      <alignment horizontal="center"/>
    </xf>
    <xf numFmtId="9" fontId="0" fillId="0" borderId="0" xfId="3" applyFont="1"/>
    <xf numFmtId="0" fontId="8" fillId="0" borderId="0" xfId="0" applyFont="1" applyAlignment="1">
      <alignment horizontal="left" indent="1"/>
    </xf>
    <xf numFmtId="0" fontId="8" fillId="0" borderId="0" xfId="0" applyFont="1"/>
    <xf numFmtId="10" fontId="0" fillId="0" borderId="0" xfId="0" applyNumberFormat="1" applyAlignment="1">
      <alignment horizontal="center"/>
    </xf>
    <xf numFmtId="2" fontId="8" fillId="0" borderId="0" xfId="0" applyNumberFormat="1" applyFont="1"/>
    <xf numFmtId="1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Current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Graphs!$B$3</c:f>
              <c:strCache>
                <c:ptCount val="1"/>
                <c:pt idx="0">
                  <c:v>Current ratio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Graphs!$C$3:$E$3</c:f>
              <c:numCache>
                <c:formatCode>0.00</c:formatCode>
                <c:ptCount val="3"/>
                <c:pt idx="0">
                  <c:v>1.3636044481554577</c:v>
                </c:pt>
                <c:pt idx="1">
                  <c:v>1.0745531195957954</c:v>
                </c:pt>
                <c:pt idx="2">
                  <c:v>0.87935602862672257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3-4FE1-A7DF-DB382EA3C35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05827583"/>
        <c:axId val="1605826623"/>
      </c:lineChart>
      <c:catAx>
        <c:axId val="1605827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5826623"/>
        <c:crosses val="autoZero"/>
        <c:auto val="1"/>
        <c:lblAlgn val="ctr"/>
        <c:lblOffset val="100"/>
        <c:noMultiLvlLbl val="0"/>
      </c:catAx>
      <c:valAx>
        <c:axId val="1605826623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605827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Debt to total assets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Graphs!$B$31</c:f>
              <c:strCache>
                <c:ptCount val="1"/>
                <c:pt idx="0">
                  <c:v>Debt to total assets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Graphs!$C$30:$E$30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Graphs!$C$31:$E$31</c:f>
              <c:numCache>
                <c:formatCode>0.00</c:formatCode>
                <c:ptCount val="3"/>
                <c:pt idx="0">
                  <c:v>0.49363360173887272</c:v>
                </c:pt>
                <c:pt idx="1">
                  <c:v>0.50941590076409826</c:v>
                </c:pt>
                <c:pt idx="2">
                  <c:v>0.57582174597099967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F4-4FAF-B37B-91AEF0CC49B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85830031"/>
        <c:axId val="1385799791"/>
      </c:lineChart>
      <c:catAx>
        <c:axId val="1385830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5799791"/>
        <c:crosses val="autoZero"/>
        <c:auto val="1"/>
        <c:lblAlgn val="ctr"/>
        <c:lblOffset val="100"/>
        <c:noMultiLvlLbl val="0"/>
      </c:catAx>
      <c:valAx>
        <c:axId val="1385799791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385830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Long-term debt to capital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Graphs!$B$33</c:f>
              <c:strCache>
                <c:ptCount val="1"/>
                <c:pt idx="0">
                  <c:v>Long-term debt to capital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Graphs!$C$32:$E$32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Graphs!$C$33:$E$33</c:f>
              <c:numCache>
                <c:formatCode>0.00</c:formatCode>
                <c:ptCount val="3"/>
                <c:pt idx="0">
                  <c:v>0.60160603880345842</c:v>
                </c:pt>
                <c:pt idx="1">
                  <c:v>0.63361518269878514</c:v>
                </c:pt>
                <c:pt idx="2">
                  <c:v>0.66135359651409131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3C-4321-8351-C5286B34899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86068159"/>
        <c:axId val="1386069599"/>
      </c:lineChart>
      <c:catAx>
        <c:axId val="13860681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6069599"/>
        <c:crosses val="autoZero"/>
        <c:auto val="1"/>
        <c:lblAlgn val="ctr"/>
        <c:lblOffset val="100"/>
        <c:noMultiLvlLbl val="0"/>
      </c:catAx>
      <c:valAx>
        <c:axId val="1386069599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386068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Total asset turnover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Graphs!$B$39</c:f>
              <c:strCache>
                <c:ptCount val="1"/>
                <c:pt idx="0">
                  <c:v>Total asset turnover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Graphs!$C$38:$E$38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Graphs!$C$39:$E$39</c:f>
              <c:numCache>
                <c:formatCode>0.00</c:formatCode>
                <c:ptCount val="3"/>
                <c:pt idx="1">
                  <c:v>1.084078886929722</c:v>
                </c:pt>
                <c:pt idx="2">
                  <c:v>1.1206368107173357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D3-4888-8DC1-14EF91E636E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1984063"/>
        <c:axId val="1385825711"/>
      </c:lineChart>
      <c:catAx>
        <c:axId val="9619840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5825711"/>
        <c:crosses val="autoZero"/>
        <c:auto val="1"/>
        <c:lblAlgn val="ctr"/>
        <c:lblOffset val="100"/>
        <c:noMultiLvlLbl val="0"/>
      </c:catAx>
      <c:valAx>
        <c:axId val="138582571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61984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Fixed asset turnover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Graphs!$B$41</c:f>
              <c:strCache>
                <c:ptCount val="1"/>
                <c:pt idx="0">
                  <c:v>Fixed asset turnover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Graphs!$C$40:$E$40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Graphs!$C$41:$E$41</c:f>
              <c:numCache>
                <c:formatCode>0.00</c:formatCode>
                <c:ptCount val="3"/>
                <c:pt idx="1">
                  <c:v>9.6007400992047867</c:v>
                </c:pt>
                <c:pt idx="2">
                  <c:v>9.6699976703409884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7F-4868-94A6-D513AF0AFC0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2509375"/>
        <c:axId val="1392509855"/>
      </c:lineChart>
      <c:catAx>
        <c:axId val="1392509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509855"/>
        <c:crosses val="autoZero"/>
        <c:auto val="1"/>
        <c:lblAlgn val="ctr"/>
        <c:lblOffset val="100"/>
        <c:noMultiLvlLbl val="0"/>
      </c:catAx>
      <c:valAx>
        <c:axId val="13925098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92509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Inventory turnover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Graphs!$B$43</c:f>
              <c:strCache>
                <c:ptCount val="1"/>
                <c:pt idx="0">
                  <c:v>Inventory turnover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Graphs!$C$42:$E$42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Graphs!$C$43:$E$43</c:f>
              <c:numCache>
                <c:formatCode>0.00</c:formatCode>
                <c:ptCount val="3"/>
                <c:pt idx="1">
                  <c:v>40.030260313880277</c:v>
                </c:pt>
                <c:pt idx="2">
                  <c:v>38.789866389033492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27-48A2-B38A-CFFA2629AD9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2502175"/>
        <c:axId val="1392522815"/>
      </c:lineChart>
      <c:catAx>
        <c:axId val="1392502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522815"/>
        <c:crosses val="autoZero"/>
        <c:auto val="1"/>
        <c:lblAlgn val="ctr"/>
        <c:lblOffset val="100"/>
        <c:noMultiLvlLbl val="0"/>
      </c:catAx>
      <c:valAx>
        <c:axId val="13925228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92502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Capex as a percentage of 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Graphs!$B$45</c:f>
              <c:strCache>
                <c:ptCount val="1"/>
                <c:pt idx="0">
                  <c:v>Capex as a percentage of sales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Graphs!$C$44:$E$44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Graphs!$C$45:$E$45</c:f>
              <c:numCache>
                <c:formatCode>0.00%</c:formatCode>
                <c:ptCount val="3"/>
                <c:pt idx="0">
                  <c:v>2.6625138881299748E-2</c:v>
                </c:pt>
                <c:pt idx="1">
                  <c:v>3.0302036264033657E-2</c:v>
                </c:pt>
                <c:pt idx="2">
                  <c:v>2.7155058732831552E-2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A8-4665-A103-8F2756B82E4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59238559"/>
        <c:axId val="959239039"/>
      </c:lineChart>
      <c:catAx>
        <c:axId val="9592385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9239039"/>
        <c:crosses val="autoZero"/>
        <c:auto val="1"/>
        <c:lblAlgn val="ctr"/>
        <c:lblOffset val="100"/>
        <c:noMultiLvlLbl val="0"/>
      </c:catAx>
      <c:valAx>
        <c:axId val="959239039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959238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Price to eARNINGS (P/E)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Graphs!$B$50</c:f>
              <c:strCache>
                <c:ptCount val="1"/>
                <c:pt idx="0">
                  <c:v>Price to earnings (P/E)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Graphs!$C$49:$E$49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Graphs!$C$50:$E$50</c:f>
              <c:numCache>
                <c:formatCode>0.00</c:formatCode>
                <c:ptCount val="3"/>
                <c:pt idx="0">
                  <c:v>40.454268292682926</c:v>
                </c:pt>
                <c:pt idx="1">
                  <c:v>31.652406417112296</c:v>
                </c:pt>
                <c:pt idx="2">
                  <c:v>21.265139116202946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AE-4865-8310-C241CE9C44B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71548111"/>
        <c:axId val="1471549071"/>
      </c:lineChart>
      <c:catAx>
        <c:axId val="14715481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1549071"/>
        <c:crosses val="autoZero"/>
        <c:auto val="1"/>
        <c:lblAlgn val="ctr"/>
        <c:lblOffset val="100"/>
        <c:noMultiLvlLbl val="0"/>
      </c:catAx>
      <c:valAx>
        <c:axId val="1471549071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471548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Price to book value (PBV)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Graphs!$B$52</c:f>
              <c:strCache>
                <c:ptCount val="1"/>
                <c:pt idx="0">
                  <c:v>Price to book value (PBV)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Graphs!$C$51:$E$51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Graphs!$C$52:$E$52</c:f>
              <c:numCache>
                <c:formatCode>0</c:formatCode>
                <c:ptCount val="3"/>
                <c:pt idx="0">
                  <c:v>35596.178632363517</c:v>
                </c:pt>
                <c:pt idx="1">
                  <c:v>47467.168597717544</c:v>
                </c:pt>
                <c:pt idx="2">
                  <c:v>41861.652641892957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F6-490F-BE8C-FECA207194F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71499151"/>
        <c:axId val="1471505871"/>
      </c:lineChart>
      <c:catAx>
        <c:axId val="14714991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1505871"/>
        <c:crosses val="autoZero"/>
        <c:auto val="1"/>
        <c:lblAlgn val="ctr"/>
        <c:lblOffset val="100"/>
        <c:noMultiLvlLbl val="0"/>
      </c:catAx>
      <c:valAx>
        <c:axId val="1471505871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471499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Enterprise value to EBITDA (EV/EBITDA)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Graphs!$B$54</c:f>
              <c:strCache>
                <c:ptCount val="1"/>
                <c:pt idx="0">
                  <c:v>Enterprise value to EBITDA (EV/EBITDA)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Graphs!$C$53:$E$53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Graphs!$C$54:$E$54</c:f>
              <c:numCache>
                <c:formatCode>0</c:formatCode>
                <c:ptCount val="3"/>
                <c:pt idx="0">
                  <c:v>30071.991876034339</c:v>
                </c:pt>
                <c:pt idx="1">
                  <c:v>24908.198629577568</c:v>
                </c:pt>
                <c:pt idx="2">
                  <c:v>16250.067822906214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8C-4E27-9825-C0DEE599A05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71520271"/>
        <c:axId val="1471523151"/>
      </c:lineChart>
      <c:catAx>
        <c:axId val="14715202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1523151"/>
        <c:crosses val="autoZero"/>
        <c:auto val="1"/>
        <c:lblAlgn val="ctr"/>
        <c:lblOffset val="100"/>
        <c:noMultiLvlLbl val="0"/>
      </c:catAx>
      <c:valAx>
        <c:axId val="1471523151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471520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Defensive Interval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Graphs!$B$9</c:f>
              <c:strCache>
                <c:ptCount val="1"/>
                <c:pt idx="0">
                  <c:v>Defensive Interval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Graphs!$C$8:$E$8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Graphs!$C$9:$E$9</c:f>
              <c:numCache>
                <c:formatCode>0.00</c:formatCode>
                <c:ptCount val="3"/>
                <c:pt idx="0">
                  <c:v>1010.6029533464364</c:v>
                </c:pt>
                <c:pt idx="1">
                  <c:v>739.50611798482464</c:v>
                </c:pt>
                <c:pt idx="2">
                  <c:v>543.73590417762193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EC-4949-A0C9-B489253E1BF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09108640"/>
        <c:axId val="709094720"/>
      </c:lineChart>
      <c:catAx>
        <c:axId val="709108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094720"/>
        <c:crosses val="autoZero"/>
        <c:auto val="1"/>
        <c:lblAlgn val="ctr"/>
        <c:lblOffset val="100"/>
        <c:noMultiLvlLbl val="0"/>
      </c:catAx>
      <c:valAx>
        <c:axId val="709094720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70910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Quick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Graphs!$B$5</c:f>
              <c:strCache>
                <c:ptCount val="1"/>
                <c:pt idx="0">
                  <c:v>Quick Ratio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Graphs!$C$4:$E$4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Graphs!$C$5:$E$5</c:f>
              <c:numCache>
                <c:formatCode>0.00</c:formatCode>
                <c:ptCount val="3"/>
                <c:pt idx="0">
                  <c:v>1.325072111735236</c:v>
                </c:pt>
                <c:pt idx="1">
                  <c:v>1.0221149018576519</c:v>
                </c:pt>
                <c:pt idx="2">
                  <c:v>0.84723539114961488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91-471C-A1A8-A297722776C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06815775"/>
        <c:axId val="1606816735"/>
      </c:lineChart>
      <c:catAx>
        <c:axId val="16068157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816735"/>
        <c:crosses val="autoZero"/>
        <c:auto val="1"/>
        <c:lblAlgn val="ctr"/>
        <c:lblOffset val="100"/>
        <c:noMultiLvlLbl val="0"/>
      </c:catAx>
      <c:valAx>
        <c:axId val="1606816735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60681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Cash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Graphs!$B$7</c:f>
              <c:strCache>
                <c:ptCount val="1"/>
                <c:pt idx="0">
                  <c:v>Cash Ratio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Graphs!$C$6:$E$6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Graphs!$C$7:$E$7</c:f>
              <c:numCache>
                <c:formatCode>0.00</c:formatCode>
                <c:ptCount val="3"/>
                <c:pt idx="0">
                  <c:v>0.86290230757552755</c:v>
                </c:pt>
                <c:pt idx="1">
                  <c:v>0.49919111259872012</c:v>
                </c:pt>
                <c:pt idx="2">
                  <c:v>0.31369900377966253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00-4D80-93C5-CE99F17BCB1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17640239"/>
        <c:axId val="1617634479"/>
      </c:lineChart>
      <c:catAx>
        <c:axId val="1617640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7634479"/>
        <c:crosses val="autoZero"/>
        <c:auto val="1"/>
        <c:lblAlgn val="ctr"/>
        <c:lblOffset val="100"/>
        <c:noMultiLvlLbl val="0"/>
      </c:catAx>
      <c:valAx>
        <c:axId val="1617634479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617640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Working Capital as a % of 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Graphs!$B$11</c:f>
              <c:strCache>
                <c:ptCount val="1"/>
                <c:pt idx="0">
                  <c:v>Working Capital as a % of Sales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0.11234375000000001"/>
                  <c:y val="-0.128219576256905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39-4556-8CDE-06C395E67F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Graphs!$C$10:$E$10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Graphs!$C$11:$E$11</c:f>
              <c:numCache>
                <c:formatCode>0.00%</c:formatCode>
                <c:ptCount val="3"/>
                <c:pt idx="0">
                  <c:v>-4.711052727678481E-2</c:v>
                </c:pt>
                <c:pt idx="1">
                  <c:v>2.557289573748623E-2</c:v>
                </c:pt>
                <c:pt idx="2">
                  <c:v>0.13959528623208203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88-4D5F-B7F8-DACB27C7B02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19566543"/>
        <c:axId val="1619567023"/>
      </c:lineChart>
      <c:catAx>
        <c:axId val="1619566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9567023"/>
        <c:crosses val="autoZero"/>
        <c:auto val="1"/>
        <c:lblAlgn val="ctr"/>
        <c:lblOffset val="100"/>
        <c:noMultiLvlLbl val="0"/>
      </c:catAx>
      <c:valAx>
        <c:axId val="1619567023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619566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Gross margin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Graphs!$B$15</c:f>
              <c:strCache>
                <c:ptCount val="1"/>
                <c:pt idx="0">
                  <c:v>Gross margin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Graphs!$C$14:$E$14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Graphs!$C$15:$E$15</c:f>
              <c:numCache>
                <c:formatCode>0.00%</c:formatCode>
                <c:ptCount val="3"/>
                <c:pt idx="0">
                  <c:v>0.4754583301245317</c:v>
                </c:pt>
                <c:pt idx="1">
                  <c:v>0.51392102006778928</c:v>
                </c:pt>
                <c:pt idx="2">
                  <c:v>0.54010923500706831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62-4347-B80A-60EE1EB5946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1859503"/>
        <c:axId val="1615634111"/>
      </c:lineChart>
      <c:catAx>
        <c:axId val="391859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5634111"/>
        <c:crosses val="autoZero"/>
        <c:auto val="1"/>
        <c:lblAlgn val="ctr"/>
        <c:lblOffset val="100"/>
        <c:noMultiLvlLbl val="0"/>
      </c:catAx>
      <c:valAx>
        <c:axId val="1615634111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391859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EBITDA margin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Graphs!$B$17</c:f>
              <c:strCache>
                <c:ptCount val="1"/>
                <c:pt idx="0">
                  <c:v>EBITDA margin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Graphs!$C$16:$E$16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Graphs!$C$17:$E$17</c:f>
              <c:numCache>
                <c:formatCode>0.00%</c:formatCode>
                <c:ptCount val="3"/>
                <c:pt idx="0">
                  <c:v>0.35037395751697648</c:v>
                </c:pt>
                <c:pt idx="1">
                  <c:v>0.4042913057513316</c:v>
                </c:pt>
                <c:pt idx="2">
                  <c:v>0.41284444289830141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8B-4BE5-9FC7-3EFAFC3ED17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3382335"/>
        <c:axId val="403380415"/>
      </c:lineChart>
      <c:catAx>
        <c:axId val="403382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380415"/>
        <c:crosses val="autoZero"/>
        <c:auto val="1"/>
        <c:lblAlgn val="ctr"/>
        <c:lblOffset val="100"/>
        <c:noMultiLvlLbl val="0"/>
      </c:catAx>
      <c:valAx>
        <c:axId val="403380415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03382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EBIT margin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Graphs!$B$19</c:f>
              <c:strCache>
                <c:ptCount val="1"/>
                <c:pt idx="0">
                  <c:v>EBIT margin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Graphs!$C$18:$E$18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Graphs!$C$19:$E$19</c:f>
              <c:numCache>
                <c:formatCode>0.00%</c:formatCode>
                <c:ptCount val="3"/>
                <c:pt idx="0">
                  <c:v>0.30392712018736384</c:v>
                </c:pt>
                <c:pt idx="1">
                  <c:v>0.36721566148383278</c:v>
                </c:pt>
                <c:pt idx="2">
                  <c:v>0.37667102046496037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A9-4469-9BA2-AD5719014DE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7206847"/>
        <c:axId val="347208287"/>
      </c:lineChart>
      <c:catAx>
        <c:axId val="3472068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208287"/>
        <c:crosses val="autoZero"/>
        <c:auto val="1"/>
        <c:lblAlgn val="ctr"/>
        <c:lblOffset val="100"/>
        <c:noMultiLvlLbl val="0"/>
      </c:catAx>
      <c:valAx>
        <c:axId val="347208287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347206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Net margin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Graphs!$B$21</c:f>
              <c:strCache>
                <c:ptCount val="1"/>
                <c:pt idx="0">
                  <c:v>Net margin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Graphs!$C$20:$E$20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Graphs!$C$21:$E$21</c:f>
              <c:numCache>
                <c:formatCode>0.00%</c:formatCode>
                <c:ptCount val="3"/>
                <c:pt idx="0">
                  <c:v>0.26007601462307528</c:v>
                </c:pt>
                <c:pt idx="1">
                  <c:v>0.31836767633292085</c:v>
                </c:pt>
                <c:pt idx="2">
                  <c:v>0.31563350927738543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1-43D8-AE6A-1234FDD0E55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0164831"/>
        <c:axId val="399544975"/>
      </c:lineChart>
      <c:catAx>
        <c:axId val="390164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544975"/>
        <c:crosses val="autoZero"/>
        <c:auto val="1"/>
        <c:lblAlgn val="ctr"/>
        <c:lblOffset val="100"/>
        <c:noMultiLvlLbl val="0"/>
      </c:catAx>
      <c:valAx>
        <c:axId val="399544975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3901648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Debt to equity (D/E)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Graphs!$B$29</c:f>
              <c:strCache>
                <c:ptCount val="1"/>
                <c:pt idx="0">
                  <c:v>Debt to equity (D/E)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Graphs!$C$28:$E$28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Graphs!$C$29:$E$29</c:f>
              <c:numCache>
                <c:formatCode>0.00</c:formatCode>
                <c:ptCount val="3"/>
                <c:pt idx="0">
                  <c:v>1.6443471739696047</c:v>
                </c:pt>
                <c:pt idx="1">
                  <c:v>1.8817403708987162</c:v>
                </c:pt>
                <c:pt idx="2">
                  <c:v>2.1725410483107042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C1-42EF-81E5-4BE4CB19913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85806991"/>
        <c:axId val="1385800271"/>
      </c:lineChart>
      <c:catAx>
        <c:axId val="1385806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5800271"/>
        <c:crosses val="autoZero"/>
        <c:auto val="1"/>
        <c:lblAlgn val="ctr"/>
        <c:lblOffset val="100"/>
        <c:noMultiLvlLbl val="0"/>
      </c:catAx>
      <c:valAx>
        <c:axId val="1385800271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38580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0</xdr:row>
      <xdr:rowOff>176212</xdr:rowOff>
    </xdr:from>
    <xdr:to>
      <xdr:col>9</xdr:col>
      <xdr:colOff>600075</xdr:colOff>
      <xdr:row>10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761B514-DD18-2F90-A7D4-EE066A0057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9525</xdr:colOff>
      <xdr:row>1</xdr:row>
      <xdr:rowOff>14287</xdr:rowOff>
    </xdr:from>
    <xdr:to>
      <xdr:col>20</xdr:col>
      <xdr:colOff>0</xdr:colOff>
      <xdr:row>11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93B815A-8518-183D-253F-F4EE1859E9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9525</xdr:colOff>
      <xdr:row>1</xdr:row>
      <xdr:rowOff>4761</xdr:rowOff>
    </xdr:from>
    <xdr:to>
      <xdr:col>15</xdr:col>
      <xdr:colOff>0</xdr:colOff>
      <xdr:row>10</xdr:row>
      <xdr:rowOff>180974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2683438-87E5-7995-7C79-550C12282F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0</xdr:colOff>
      <xdr:row>1</xdr:row>
      <xdr:rowOff>4762</xdr:rowOff>
    </xdr:from>
    <xdr:to>
      <xdr:col>30</xdr:col>
      <xdr:colOff>0</xdr:colOff>
      <xdr:row>10</xdr:row>
      <xdr:rowOff>171449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1CA7688-2695-6715-FD20-A02155F5CB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13</xdr:row>
      <xdr:rowOff>4762</xdr:rowOff>
    </xdr:from>
    <xdr:to>
      <xdr:col>10</xdr:col>
      <xdr:colOff>28575</xdr:colOff>
      <xdr:row>22</xdr:row>
      <xdr:rowOff>38100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A0B7A80-AB91-79B6-F12A-8723599F0D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13</xdr:row>
      <xdr:rowOff>14286</xdr:rowOff>
    </xdr:from>
    <xdr:to>
      <xdr:col>15</xdr:col>
      <xdr:colOff>0</xdr:colOff>
      <xdr:row>22</xdr:row>
      <xdr:rowOff>19049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42743BB-20BE-2322-F7A3-57AE772A63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19051</xdr:colOff>
      <xdr:row>13</xdr:row>
      <xdr:rowOff>14287</xdr:rowOff>
    </xdr:from>
    <xdr:to>
      <xdr:col>20</xdr:col>
      <xdr:colOff>1</xdr:colOff>
      <xdr:row>22</xdr:row>
      <xdr:rowOff>19050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B2E885F-627A-FE40-3379-464D27C8BE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9525</xdr:colOff>
      <xdr:row>13</xdr:row>
      <xdr:rowOff>14287</xdr:rowOff>
    </xdr:from>
    <xdr:to>
      <xdr:col>25</xdr:col>
      <xdr:colOff>47625</xdr:colOff>
      <xdr:row>22</xdr:row>
      <xdr:rowOff>28575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FEC0DD5C-2CF6-472E-AC67-44CA29EC91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19050</xdr:colOff>
      <xdr:row>26</xdr:row>
      <xdr:rowOff>33337</xdr:rowOff>
    </xdr:from>
    <xdr:to>
      <xdr:col>10</xdr:col>
      <xdr:colOff>28575</xdr:colOff>
      <xdr:row>36</xdr:row>
      <xdr:rowOff>57150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B034F30-888D-EEE9-7200-5F207D90B0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9525</xdr:colOff>
      <xdr:row>26</xdr:row>
      <xdr:rowOff>14287</xdr:rowOff>
    </xdr:from>
    <xdr:to>
      <xdr:col>15</xdr:col>
      <xdr:colOff>19050</xdr:colOff>
      <xdr:row>36</xdr:row>
      <xdr:rowOff>19050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0FDADA9-DC37-0CB1-1367-FA3543E0A7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38100</xdr:colOff>
      <xdr:row>26</xdr:row>
      <xdr:rowOff>14287</xdr:rowOff>
    </xdr:from>
    <xdr:to>
      <xdr:col>20</xdr:col>
      <xdr:colOff>47625</xdr:colOff>
      <xdr:row>36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D98F2EF-9DDC-E583-7423-527BC98FDB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36</xdr:row>
      <xdr:rowOff>185737</xdr:rowOff>
    </xdr:from>
    <xdr:to>
      <xdr:col>9</xdr:col>
      <xdr:colOff>600075</xdr:colOff>
      <xdr:row>46</xdr:row>
      <xdr:rowOff>171450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D8D78B23-85D7-2091-25D7-71936F86B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600075</xdr:colOff>
      <xdr:row>36</xdr:row>
      <xdr:rowOff>185737</xdr:rowOff>
    </xdr:from>
    <xdr:to>
      <xdr:col>15</xdr:col>
      <xdr:colOff>9525</xdr:colOff>
      <xdr:row>46</xdr:row>
      <xdr:rowOff>171450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6C0DCF88-0139-E752-EAA7-2E6D7B0710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0</xdr:colOff>
      <xdr:row>36</xdr:row>
      <xdr:rowOff>176212</xdr:rowOff>
    </xdr:from>
    <xdr:to>
      <xdr:col>20</xdr:col>
      <xdr:colOff>47625</xdr:colOff>
      <xdr:row>46</xdr:row>
      <xdr:rowOff>180975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7D43B169-01E3-43AC-52B3-405915BF91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21</xdr:col>
      <xdr:colOff>0</xdr:colOff>
      <xdr:row>36</xdr:row>
      <xdr:rowOff>176212</xdr:rowOff>
    </xdr:from>
    <xdr:to>
      <xdr:col>25</xdr:col>
      <xdr:colOff>0</xdr:colOff>
      <xdr:row>46</xdr:row>
      <xdr:rowOff>171450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57286772-DB74-6D41-8A60-951ABAAC87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9526</xdr:colOff>
      <xdr:row>48</xdr:row>
      <xdr:rowOff>4761</xdr:rowOff>
    </xdr:from>
    <xdr:to>
      <xdr:col>9</xdr:col>
      <xdr:colOff>600076</xdr:colOff>
      <xdr:row>56</xdr:row>
      <xdr:rowOff>161925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CE1970EC-9A30-92D7-24C1-43A2DD98DF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9525</xdr:colOff>
      <xdr:row>47</xdr:row>
      <xdr:rowOff>185737</xdr:rowOff>
    </xdr:from>
    <xdr:to>
      <xdr:col>14</xdr:col>
      <xdr:colOff>590550</xdr:colOff>
      <xdr:row>57</xdr:row>
      <xdr:rowOff>9525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57D0A448-B307-9D3E-09B2-613BBB130A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</xdr:colOff>
      <xdr:row>47</xdr:row>
      <xdr:rowOff>176212</xdr:rowOff>
    </xdr:from>
    <xdr:to>
      <xdr:col>20</xdr:col>
      <xdr:colOff>1</xdr:colOff>
      <xdr:row>56</xdr:row>
      <xdr:rowOff>180975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B2C6F616-F5B3-E1C9-E2C5-93D429096B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21</xdr:col>
      <xdr:colOff>0</xdr:colOff>
      <xdr:row>1</xdr:row>
      <xdr:rowOff>14287</xdr:rowOff>
    </xdr:from>
    <xdr:to>
      <xdr:col>24</xdr:col>
      <xdr:colOff>590550</xdr:colOff>
      <xdr:row>11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C5E176-0D63-340A-6B7C-384F18FE67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5" workbookViewId="0">
      <selection activeCell="D21" sqref="D21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22" zoomScaleNormal="100" workbookViewId="0">
      <selection activeCell="H36" sqref="H36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33" t="s">
        <v>1</v>
      </c>
      <c r="B2" s="33"/>
      <c r="C2" s="33"/>
      <c r="D2" s="33"/>
    </row>
    <row r="3" spans="1:10" x14ac:dyDescent="0.25">
      <c r="B3" s="32" t="s">
        <v>23</v>
      </c>
      <c r="C3" s="32"/>
      <c r="D3" s="32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4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.75" thickTop="1" x14ac:dyDescent="0.25">
      <c r="A23" t="s">
        <v>19</v>
      </c>
    </row>
    <row r="24" spans="1:4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5">
      <c r="A26" t="s">
        <v>22</v>
      </c>
    </row>
    <row r="27" spans="1:4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5">
      <c r="A31" s="33" t="s">
        <v>24</v>
      </c>
      <c r="B31" s="33"/>
      <c r="C31" s="33"/>
      <c r="D31" s="33"/>
    </row>
    <row r="32" spans="1:4" x14ac:dyDescent="0.25">
      <c r="B32" s="32" t="s">
        <v>142</v>
      </c>
      <c r="C32" s="32"/>
      <c r="D32" s="32"/>
    </row>
    <row r="33" spans="1:4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5">
      <c r="A35" t="s">
        <v>25</v>
      </c>
    </row>
    <row r="36" spans="1:4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5">
      <c r="A43" t="s">
        <v>48</v>
      </c>
      <c r="B43" s="12"/>
      <c r="C43" s="12"/>
      <c r="D43" s="12"/>
    </row>
    <row r="44" spans="1:4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.75" thickBot="1" x14ac:dyDescent="0.3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.75" thickTop="1" x14ac:dyDescent="0.25"/>
    <row r="50" spans="1:4" x14ac:dyDescent="0.25">
      <c r="A50" t="s">
        <v>34</v>
      </c>
    </row>
    <row r="51" spans="1:4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5">
      <c r="A57" t="s">
        <v>51</v>
      </c>
      <c r="B57" s="12"/>
      <c r="C57" s="12"/>
      <c r="D57" s="12"/>
    </row>
    <row r="58" spans="1:4" x14ac:dyDescent="0.25">
      <c r="A58" s="1" t="s">
        <v>37</v>
      </c>
      <c r="B58" s="12"/>
      <c r="C58" s="12"/>
      <c r="D58" s="12"/>
    </row>
    <row r="59" spans="1:4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5">
      <c r="B63" s="12"/>
      <c r="C63" s="12"/>
      <c r="D63" s="12"/>
    </row>
    <row r="64" spans="1:4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 x14ac:dyDescent="0.25"/>
    <row r="71" spans="1:4" x14ac:dyDescent="0.25">
      <c r="A71" s="33" t="s">
        <v>55</v>
      </c>
      <c r="B71" s="33"/>
      <c r="C71" s="33"/>
      <c r="D71" s="33"/>
    </row>
    <row r="72" spans="1:4" x14ac:dyDescent="0.25">
      <c r="B72" s="32" t="s">
        <v>23</v>
      </c>
      <c r="C72" s="32"/>
      <c r="D72" s="32"/>
    </row>
    <row r="73" spans="1:4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0"/>
  <sheetViews>
    <sheetView topLeftCell="A7" workbookViewId="0">
      <selection activeCell="C8" sqref="C8:E8"/>
    </sheetView>
  </sheetViews>
  <sheetFormatPr defaultRowHeight="15" x14ac:dyDescent="0.25"/>
  <cols>
    <col min="1" max="1" width="4.7109375" customWidth="1"/>
    <col min="2" max="2" width="44.85546875" customWidth="1"/>
    <col min="3" max="5" width="13.7109375" bestFit="1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32" t="s">
        <v>23</v>
      </c>
      <c r="D2" s="32"/>
      <c r="E2" s="32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H3" s="7"/>
      <c r="I3" s="7"/>
      <c r="J3" s="7"/>
    </row>
    <row r="4" spans="1:10" x14ac:dyDescent="0.25">
      <c r="A4" s="18">
        <v>1</v>
      </c>
      <c r="B4" s="7" t="s">
        <v>99</v>
      </c>
    </row>
    <row r="5" spans="1:10" x14ac:dyDescent="0.25">
      <c r="A5" s="18">
        <f>+A4+0.1</f>
        <v>1.1000000000000001</v>
      </c>
      <c r="B5" s="1" t="s">
        <v>100</v>
      </c>
      <c r="C5" s="23">
        <f>'Financial Statements'!B42/'Financial Statements'!B56</f>
        <v>0.87935602862672257</v>
      </c>
      <c r="D5" s="23">
        <f>'Financial Statements'!C42/'Financial Statements'!C56</f>
        <v>1.0745531195957954</v>
      </c>
      <c r="E5" s="23">
        <f>'Financial Statements'!D42/'Financial Statements'!D56</f>
        <v>1.3636044481554577</v>
      </c>
    </row>
    <row r="6" spans="1:10" x14ac:dyDescent="0.25">
      <c r="A6" s="18">
        <f t="shared" ref="A6:A14" si="0">+A5+0.1</f>
        <v>1.2000000000000002</v>
      </c>
      <c r="B6" s="1" t="s">
        <v>101</v>
      </c>
      <c r="C6" s="23">
        <f>('Financial Statements'!B42-'Financial Statements'!B39)/'Financial Statements'!B56</f>
        <v>0.84723539114961488</v>
      </c>
      <c r="D6" s="23">
        <f>('Financial Statements'!C42-'Financial Statements'!C39)/'Financial Statements'!C56</f>
        <v>1.0221149018576519</v>
      </c>
      <c r="E6" s="23">
        <f>('Financial Statements'!D42-'Financial Statements'!D39)/'Financial Statements'!D56</f>
        <v>1.325072111735236</v>
      </c>
    </row>
    <row r="7" spans="1:10" x14ac:dyDescent="0.25">
      <c r="A7" s="18">
        <f t="shared" si="0"/>
        <v>1.3000000000000003</v>
      </c>
      <c r="B7" s="1" t="s">
        <v>102</v>
      </c>
      <c r="C7" s="23">
        <f>('Financial Statements'!B36+'Financial Statements'!B37)/'Financial Statements'!B56</f>
        <v>0.31369900377966253</v>
      </c>
      <c r="D7" s="23">
        <f>('Financial Statements'!C36+'Financial Statements'!C37)/'Financial Statements'!C56</f>
        <v>0.49919111259872012</v>
      </c>
      <c r="E7" s="23">
        <f>('Financial Statements'!D36+'Financial Statements'!D37)/'Financial Statements'!D56</f>
        <v>0.86290230757552755</v>
      </c>
    </row>
    <row r="8" spans="1:10" x14ac:dyDescent="0.25">
      <c r="A8" s="18">
        <f t="shared" si="0"/>
        <v>1.4000000000000004</v>
      </c>
      <c r="B8" s="1" t="s">
        <v>103</v>
      </c>
      <c r="C8" s="23">
        <f>('Financial Statements'!B36+'Financial Statements'!B37+'Financial Statements'!B38)/'List of Ratios'!C9</f>
        <v>543.73590417762193</v>
      </c>
      <c r="D8" s="23">
        <f>('Financial Statements'!C36+'Financial Statements'!C37+'Financial Statements'!C38)/'List of Ratios'!D9</f>
        <v>739.50611798482464</v>
      </c>
      <c r="E8" s="23">
        <f>('Financial Statements'!D36+'Financial Statements'!D37+'Financial Statements'!D38)/'List of Ratios'!E9</f>
        <v>1010.6029533464364</v>
      </c>
    </row>
    <row r="9" spans="1:10" x14ac:dyDescent="0.25">
      <c r="A9" s="18"/>
      <c r="B9" s="27" t="s">
        <v>163</v>
      </c>
      <c r="C9" s="23">
        <f>'Financial Statements'!B17/365</f>
        <v>140.67123287671234</v>
      </c>
      <c r="D9" s="23">
        <f>'Financial Statements'!C17/365</f>
        <v>120.23835616438356</v>
      </c>
      <c r="E9" s="23">
        <f>'Financial Statements'!D17/365</f>
        <v>105.93972602739726</v>
      </c>
    </row>
    <row r="10" spans="1:10" x14ac:dyDescent="0.25">
      <c r="A10" s="18">
        <f>+A8+0.1</f>
        <v>1.5000000000000004</v>
      </c>
      <c r="B10" s="1" t="s">
        <v>104</v>
      </c>
      <c r="C10" s="23">
        <f>((('Financial Statements'!C39+'Financial Statements'!B39)/2)/'Financial Statements'!B12)*365</f>
        <v>9.4096740715557434</v>
      </c>
      <c r="D10" s="23">
        <f>((('Financial Statements'!D39+'Financial Statements'!C39)/2)/'Financial Statements'!C12)*365</f>
        <v>9.1181020842234748</v>
      </c>
      <c r="E10" s="25" t="s">
        <v>150</v>
      </c>
    </row>
    <row r="11" spans="1:10" x14ac:dyDescent="0.25">
      <c r="A11" s="18">
        <f t="shared" si="0"/>
        <v>1.6000000000000005</v>
      </c>
      <c r="B11" s="1" t="s">
        <v>105</v>
      </c>
      <c r="C11" s="23">
        <f>((('Financial Statements'!C51+'Financial Statements'!B51)/2)/'Financial Statements'!B13)*365</f>
        <v>127.03466993008631</v>
      </c>
      <c r="D11" s="23">
        <f>((('Financial Statements'!D51+'Financial Statements'!C51)/2)/'Financial Statements'!C13)*365</f>
        <v>115.89721989583606</v>
      </c>
      <c r="E11" s="25" t="s">
        <v>150</v>
      </c>
    </row>
    <row r="12" spans="1:10" x14ac:dyDescent="0.25">
      <c r="A12" s="18">
        <f t="shared" si="0"/>
        <v>1.7000000000000006</v>
      </c>
      <c r="B12" s="1" t="s">
        <v>106</v>
      </c>
      <c r="C12" s="23">
        <f>((('Financial Statements'!C38+'Financial Statements'!B38)/2)/'Financial Statements'!B13)*365</f>
        <v>58.198844140483182</v>
      </c>
      <c r="D12" s="23">
        <f>((('Financial Statements'!D38+'Financial Statements'!C38)/2)/'Financial Statements'!C13)*365</f>
        <v>50.627044675338276</v>
      </c>
      <c r="E12" s="25" t="s">
        <v>150</v>
      </c>
    </row>
    <row r="13" spans="1:10" x14ac:dyDescent="0.25">
      <c r="A13" s="18">
        <f t="shared" si="0"/>
        <v>1.8000000000000007</v>
      </c>
      <c r="B13" s="1" t="s">
        <v>107</v>
      </c>
      <c r="C13" s="23">
        <f>SUM(C10:C12)</f>
        <v>194.64318814212524</v>
      </c>
      <c r="D13" s="23">
        <f>SUM(D10:D12)</f>
        <v>175.64236665539781</v>
      </c>
      <c r="E13" s="25" t="s">
        <v>150</v>
      </c>
    </row>
    <row r="14" spans="1:10" x14ac:dyDescent="0.25">
      <c r="A14" s="18">
        <f t="shared" si="0"/>
        <v>1.9000000000000008</v>
      </c>
      <c r="B14" s="1" t="s">
        <v>108</v>
      </c>
      <c r="C14" s="24">
        <f>C15/'Financial Statements'!B8</f>
        <v>-4.711052727678481E-2</v>
      </c>
      <c r="D14" s="24">
        <f>D15/'Financial Statements'!C8</f>
        <v>2.557289573748623E-2</v>
      </c>
      <c r="E14" s="24">
        <f>E15/'Financial Statements'!D8</f>
        <v>0.13959528623208203</v>
      </c>
    </row>
    <row r="15" spans="1:10" x14ac:dyDescent="0.25">
      <c r="A15" s="18"/>
      <c r="B15" s="3" t="s">
        <v>109</v>
      </c>
      <c r="C15">
        <f>'Financial Statements'!B42-'Financial Statements'!B56</f>
        <v>-18577</v>
      </c>
      <c r="D15">
        <f>'Financial Statements'!C42-'Financial Statements'!C56</f>
        <v>9355</v>
      </c>
      <c r="E15">
        <f>'Financial Statements'!D42-'Financial Statements'!D56</f>
        <v>38321</v>
      </c>
    </row>
    <row r="16" spans="1:10" x14ac:dyDescent="0.25">
      <c r="A16" s="18"/>
    </row>
    <row r="17" spans="1:5" x14ac:dyDescent="0.25">
      <c r="A17" s="18">
        <f>+A4+1</f>
        <v>2</v>
      </c>
      <c r="B17" s="17" t="s">
        <v>110</v>
      </c>
    </row>
    <row r="18" spans="1:5" x14ac:dyDescent="0.25">
      <c r="A18" s="18">
        <f>+A17+0.1</f>
        <v>2.1</v>
      </c>
      <c r="B18" s="1" t="s">
        <v>9</v>
      </c>
      <c r="C18" s="24">
        <f>'Financial Statements'!B13/'Financial Statements'!B6</f>
        <v>0.54010923500706831</v>
      </c>
      <c r="D18" s="24">
        <f>'Financial Statements'!C13/'Financial Statements'!C6</f>
        <v>0.51392102006778928</v>
      </c>
      <c r="E18" s="24">
        <f>'Financial Statements'!D13/'Financial Statements'!D6</f>
        <v>0.4754583301245317</v>
      </c>
    </row>
    <row r="19" spans="1:5" x14ac:dyDescent="0.25">
      <c r="A19" s="18">
        <f>+A18+0.1</f>
        <v>2.2000000000000002</v>
      </c>
      <c r="B19" s="1" t="s">
        <v>111</v>
      </c>
      <c r="C19" s="24">
        <f>C20/'Financial Statements'!B6</f>
        <v>0.41284444289830141</v>
      </c>
      <c r="D19" s="24">
        <f>D20/'Financial Statements'!C6</f>
        <v>0.4042913057513316</v>
      </c>
      <c r="E19" s="24">
        <f>E20/'Financial Statements'!D6</f>
        <v>0.35037395751697648</v>
      </c>
    </row>
    <row r="20" spans="1:5" x14ac:dyDescent="0.25">
      <c r="A20" s="18"/>
      <c r="B20" s="3" t="s">
        <v>112</v>
      </c>
      <c r="C20">
        <f>'Financial Statements'!B18+'Financial Statements'!B79</f>
        <v>130541</v>
      </c>
      <c r="D20">
        <f>'Financial Statements'!C18+'Financial Statements'!C79</f>
        <v>120233</v>
      </c>
      <c r="E20">
        <f>'Financial Statements'!D18+'Financial Statements'!D79</f>
        <v>77344</v>
      </c>
    </row>
    <row r="21" spans="1:5" x14ac:dyDescent="0.25">
      <c r="A21" s="18">
        <f>+A19+0.1</f>
        <v>2.3000000000000003</v>
      </c>
      <c r="B21" s="1" t="s">
        <v>113</v>
      </c>
      <c r="C21" s="24">
        <f>C22/'Financial Statements'!B6</f>
        <v>0.37667102046496037</v>
      </c>
      <c r="D21" s="24">
        <f>D22/'Financial Statements'!C6</f>
        <v>0.36721566148383278</v>
      </c>
      <c r="E21" s="24">
        <f>E22/'Financial Statements'!D6</f>
        <v>0.30392712018736384</v>
      </c>
    </row>
    <row r="22" spans="1:5" x14ac:dyDescent="0.25">
      <c r="A22" s="18"/>
      <c r="B22" s="3" t="s">
        <v>114</v>
      </c>
      <c r="C22">
        <f>'Financial Statements'!B22+'Financial Statements'!B21</f>
        <v>119103</v>
      </c>
      <c r="D22">
        <f>'Financial Statements'!C22+'Financial Statements'!C21</f>
        <v>109207</v>
      </c>
      <c r="E22">
        <f>'Financial Statements'!D22+'Financial Statements'!D21</f>
        <v>67091</v>
      </c>
    </row>
    <row r="23" spans="1:5" x14ac:dyDescent="0.25">
      <c r="A23" s="18">
        <f>+A21+0.1</f>
        <v>2.4000000000000004</v>
      </c>
      <c r="B23" s="1" t="s">
        <v>115</v>
      </c>
      <c r="C23" s="24">
        <f>'Financial Statements'!B22/'Financial Statements'!B6</f>
        <v>0.31563350927738543</v>
      </c>
      <c r="D23" s="24">
        <f>'Financial Statements'!C22/'Financial Statements'!C6</f>
        <v>0.31836767633292085</v>
      </c>
      <c r="E23" s="24">
        <f>'Financial Statements'!D22/'Financial Statements'!D6</f>
        <v>0.26007601462307528</v>
      </c>
    </row>
    <row r="24" spans="1:5" x14ac:dyDescent="0.25">
      <c r="A24" s="18"/>
    </row>
    <row r="25" spans="1:5" x14ac:dyDescent="0.25">
      <c r="A25" s="18">
        <f>+A17+1</f>
        <v>3</v>
      </c>
      <c r="B25" s="7" t="s">
        <v>116</v>
      </c>
    </row>
    <row r="26" spans="1:5" x14ac:dyDescent="0.25">
      <c r="A26" s="18">
        <f>+A25+0.1</f>
        <v>3.1</v>
      </c>
      <c r="B26" s="1" t="s">
        <v>117</v>
      </c>
      <c r="C26" s="23">
        <f>('Financial Statements'!B55+'Financial Statements'!B59)/'Financial Statements'!B68</f>
        <v>2.1725410483107042</v>
      </c>
      <c r="D26" s="23">
        <f>('Financial Statements'!C55+'Financial Statements'!C59)/'Financial Statements'!C68</f>
        <v>1.8817403708987162</v>
      </c>
      <c r="E26" s="23">
        <f>('Financial Statements'!D55+'Financial Statements'!D59)/'Financial Statements'!D68</f>
        <v>1.6443471739696047</v>
      </c>
    </row>
    <row r="27" spans="1:5" x14ac:dyDescent="0.25">
      <c r="A27" s="18">
        <f t="shared" ref="A27:A30" si="1">+A26+0.1</f>
        <v>3.2</v>
      </c>
      <c r="B27" s="1" t="s">
        <v>118</v>
      </c>
      <c r="C27" s="23">
        <f>('Financial Statements'!B56+'Financial Statements'!B60)/'Financial Statements'!B48</f>
        <v>0.57582174597099967</v>
      </c>
      <c r="D27" s="23">
        <f>('Financial Statements'!C56+'Financial Statements'!C60)/'Financial Statements'!C48</f>
        <v>0.50941590076409826</v>
      </c>
      <c r="E27" s="23">
        <f>('Financial Statements'!D56+'Financial Statements'!D60)/'Financial Statements'!D48</f>
        <v>0.49363360173887272</v>
      </c>
    </row>
    <row r="28" spans="1:5" x14ac:dyDescent="0.25">
      <c r="A28" s="18">
        <f t="shared" si="1"/>
        <v>3.3000000000000003</v>
      </c>
      <c r="B28" s="1" t="s">
        <v>119</v>
      </c>
      <c r="C28" s="23">
        <f>'Financial Statements'!B59/('Financial Statements'!B59+'Financial Statements'!B68)</f>
        <v>0.66135359651409131</v>
      </c>
      <c r="D28" s="23">
        <f>'Financial Statements'!C59/('Financial Statements'!C59+'Financial Statements'!C68)</f>
        <v>0.63361518269878514</v>
      </c>
      <c r="E28" s="23">
        <f>'Financial Statements'!D59/('Financial Statements'!D59+'Financial Statements'!D68)</f>
        <v>0.60160603880345842</v>
      </c>
    </row>
    <row r="29" spans="1:5" x14ac:dyDescent="0.25">
      <c r="A29" s="18">
        <f t="shared" si="1"/>
        <v>3.4000000000000004</v>
      </c>
      <c r="B29" s="1" t="s">
        <v>120</v>
      </c>
      <c r="C29" s="25" t="s">
        <v>150</v>
      </c>
      <c r="D29" s="25" t="s">
        <v>150</v>
      </c>
      <c r="E29" s="25" t="s">
        <v>150</v>
      </c>
    </row>
    <row r="30" spans="1:5" x14ac:dyDescent="0.25">
      <c r="A30" s="18">
        <f t="shared" si="1"/>
        <v>3.5000000000000004</v>
      </c>
      <c r="B30" s="1" t="s">
        <v>121</v>
      </c>
      <c r="C30" s="25" t="s">
        <v>150</v>
      </c>
      <c r="D30" s="25" t="s">
        <v>150</v>
      </c>
      <c r="E30" s="25" t="s">
        <v>150</v>
      </c>
    </row>
    <row r="31" spans="1:5" x14ac:dyDescent="0.25">
      <c r="A31" s="18"/>
      <c r="B31" s="27" t="s">
        <v>151</v>
      </c>
      <c r="C31" s="28">
        <v>129.93</v>
      </c>
      <c r="D31" s="28">
        <v>177.57</v>
      </c>
      <c r="E31" s="28">
        <v>132.69</v>
      </c>
    </row>
    <row r="32" spans="1:5" x14ac:dyDescent="0.25">
      <c r="A32" s="18">
        <f>+A30+0.1</f>
        <v>3.6000000000000005</v>
      </c>
      <c r="B32" s="1" t="s">
        <v>122</v>
      </c>
      <c r="C32" s="23">
        <f>C33/C31</f>
        <v>1687.8319094897251</v>
      </c>
      <c r="D32" s="23">
        <f t="shared" ref="D32:E32" si="2">D33/D31</f>
        <v>1120.1329053331081</v>
      </c>
      <c r="E32" s="23">
        <f t="shared" si="2"/>
        <v>1186.2762830657925</v>
      </c>
    </row>
    <row r="33" spans="1:5" x14ac:dyDescent="0.25">
      <c r="A33" s="18"/>
      <c r="B33" s="3" t="s">
        <v>123</v>
      </c>
      <c r="C33">
        <f>'Financial Statements'!B91-'Financial Statements'!B96+(('Financial Statements'!B55+'Financial Statements'!B59)-'Financial Statements'!B36)</f>
        <v>219300</v>
      </c>
      <c r="D33">
        <f>'Financial Statements'!C91-'Financial Statements'!C96+(('Financial Statements'!C55+'Financial Statements'!C59)-'Financial Statements'!C36)</f>
        <v>198902</v>
      </c>
      <c r="E33">
        <f>'Financial Statements'!D91-'Financial Statements'!D96+(('Financial Statements'!D55+'Financial Statements'!D59)-'Financial Statements'!D36)</f>
        <v>157407</v>
      </c>
    </row>
    <row r="34" spans="1:5" x14ac:dyDescent="0.25">
      <c r="A34" s="18"/>
    </row>
    <row r="35" spans="1:5" x14ac:dyDescent="0.25">
      <c r="A35" s="18">
        <f>+A25+1</f>
        <v>4</v>
      </c>
      <c r="B35" s="17" t="s">
        <v>124</v>
      </c>
    </row>
    <row r="36" spans="1:5" x14ac:dyDescent="0.25">
      <c r="A36" s="18">
        <f>+A35+0.1</f>
        <v>4.0999999999999996</v>
      </c>
      <c r="B36" s="1" t="s">
        <v>125</v>
      </c>
      <c r="C36" s="23">
        <f>'Financial Statements'!B8/(('Financial Statements'!C48+'Financial Statements'!B48)/2)</f>
        <v>1.1206368107173357</v>
      </c>
      <c r="D36" s="23">
        <f>'Financial Statements'!C8/(('Financial Statements'!D48+'Financial Statements'!C48)/2)</f>
        <v>1.084078886929722</v>
      </c>
      <c r="E36" s="25" t="s">
        <v>150</v>
      </c>
    </row>
    <row r="37" spans="1:5" x14ac:dyDescent="0.25">
      <c r="A37" s="18">
        <f t="shared" ref="A37:A39" si="3">+A36+0.1</f>
        <v>4.1999999999999993</v>
      </c>
      <c r="B37" s="1" t="s">
        <v>126</v>
      </c>
      <c r="C37" s="23">
        <f>'Financial Statements'!B8/(('Financial Statements'!B45+'Financial Statements'!C45)/2)</f>
        <v>9.6699976703409884</v>
      </c>
      <c r="D37" s="23">
        <f>'Financial Statements'!C8/(('Financial Statements'!C45+'Financial Statements'!D45)/2)</f>
        <v>9.6007400992047867</v>
      </c>
      <c r="E37" s="25" t="s">
        <v>150</v>
      </c>
    </row>
    <row r="38" spans="1:5" x14ac:dyDescent="0.25">
      <c r="A38" s="18">
        <f t="shared" si="3"/>
        <v>4.2999999999999989</v>
      </c>
      <c r="B38" s="1" t="s">
        <v>127</v>
      </c>
      <c r="C38" s="23">
        <f>'Financial Statements'!B12/(('Financial Statements'!B39+'Financial Statements'!C39)/2)</f>
        <v>38.789866389033492</v>
      </c>
      <c r="D38" s="23">
        <f>'Financial Statements'!C12/(('Financial Statements'!C39+'Financial Statements'!D39)/2)</f>
        <v>40.030260313880277</v>
      </c>
      <c r="E38" s="25" t="s">
        <v>150</v>
      </c>
    </row>
    <row r="39" spans="1:5" x14ac:dyDescent="0.25">
      <c r="A39" s="18">
        <f t="shared" si="3"/>
        <v>4.3999999999999986</v>
      </c>
      <c r="B39" s="1" t="s">
        <v>128</v>
      </c>
      <c r="C39" s="24">
        <f>'Financial Statements'!B22/(('Financial Statements'!B48+'Financial Statements'!C48)/2)</f>
        <v>0.28362915040276687</v>
      </c>
      <c r="D39" s="24">
        <f>'Financial Statements'!C22/(('Financial Statements'!C48+'Financial Statements'!D48)/2)</f>
        <v>0.28057905732786081</v>
      </c>
      <c r="E39" s="25" t="s">
        <v>150</v>
      </c>
    </row>
    <row r="40" spans="1:5" x14ac:dyDescent="0.25">
      <c r="A40" s="18"/>
      <c r="C40" s="26"/>
    </row>
    <row r="41" spans="1:5" x14ac:dyDescent="0.25">
      <c r="A41" s="18">
        <f>+A35+1</f>
        <v>5</v>
      </c>
      <c r="B41" s="17" t="s">
        <v>129</v>
      </c>
    </row>
    <row r="42" spans="1:5" x14ac:dyDescent="0.25">
      <c r="A42" s="18">
        <f>+A41+0.1</f>
        <v>5.0999999999999996</v>
      </c>
      <c r="B42" s="1" t="s">
        <v>130</v>
      </c>
      <c r="C42" s="23">
        <f>C31/C43</f>
        <v>21.265139116202946</v>
      </c>
      <c r="D42" s="23">
        <f t="shared" ref="D42:E42" si="4">D31/D43</f>
        <v>31.652406417112296</v>
      </c>
      <c r="E42" s="23">
        <f t="shared" si="4"/>
        <v>40.454268292682926</v>
      </c>
    </row>
    <row r="43" spans="1:5" x14ac:dyDescent="0.25">
      <c r="A43" s="18">
        <f t="shared" ref="A43:A46" si="5">+A42+0.1</f>
        <v>5.1999999999999993</v>
      </c>
      <c r="B43" s="3" t="s">
        <v>131</v>
      </c>
      <c r="C43">
        <f>'Financial Statements'!B25</f>
        <v>6.11</v>
      </c>
      <c r="D43">
        <f>'Financial Statements'!C25</f>
        <v>5.61</v>
      </c>
      <c r="E43">
        <f>'Financial Statements'!D25</f>
        <v>3.28</v>
      </c>
    </row>
    <row r="44" spans="1:5" x14ac:dyDescent="0.25">
      <c r="A44" s="18">
        <f t="shared" si="5"/>
        <v>5.2999999999999989</v>
      </c>
      <c r="B44" s="1" t="s">
        <v>132</v>
      </c>
      <c r="C44">
        <f>C31/C45</f>
        <v>41861.652641892957</v>
      </c>
      <c r="D44">
        <f t="shared" ref="D44:E44" si="6">D31/D45</f>
        <v>47467.168597717544</v>
      </c>
      <c r="E44">
        <f t="shared" si="6"/>
        <v>35596.178632363517</v>
      </c>
    </row>
    <row r="45" spans="1:5" x14ac:dyDescent="0.25">
      <c r="A45" s="18">
        <f t="shared" si="5"/>
        <v>5.3999999999999986</v>
      </c>
      <c r="B45" s="3" t="s">
        <v>133</v>
      </c>
      <c r="C45" s="23">
        <f>'Financial Statements'!B68/'Financial Statements'!B28</f>
        <v>3.103795282797145E-3</v>
      </c>
      <c r="D45" s="23">
        <f>'Financial Statements'!C68/'Financial Statements'!C28</f>
        <v>3.7409014534845971E-3</v>
      </c>
      <c r="E45" s="23">
        <f>'Financial Statements'!D68/'Financial Statements'!D28</f>
        <v>3.7276473233382478E-3</v>
      </c>
    </row>
    <row r="46" spans="1:5" x14ac:dyDescent="0.25">
      <c r="A46" s="18">
        <f t="shared" si="5"/>
        <v>5.4999999999999982</v>
      </c>
      <c r="B46" s="1" t="s">
        <v>134</v>
      </c>
      <c r="C46" s="24">
        <f>-'Financial Statements'!B102/'Financial Statements'!B22</f>
        <v>0.14870294480125848</v>
      </c>
      <c r="D46" s="24">
        <f>-'Financial Statements'!C102/'Financial Statements'!C22</f>
        <v>0.15279890156316012</v>
      </c>
      <c r="E46" s="24">
        <f>-'Financial Statements'!D102/'Financial Statements'!D22</f>
        <v>0.24526658654264863</v>
      </c>
    </row>
    <row r="47" spans="1:5" x14ac:dyDescent="0.25">
      <c r="A47" s="18"/>
      <c r="B47" s="3" t="s">
        <v>135</v>
      </c>
      <c r="C47" s="23">
        <f>-'Financial Statements'!B102/'Financial Statements'!B28</f>
        <v>9.0905087211857485E-4</v>
      </c>
      <c r="D47" s="23">
        <f>-'Financial Statements'!C102/'Financial Statements'!C28</f>
        <v>8.5781615672153545E-4</v>
      </c>
      <c r="E47" s="23">
        <f>-'Financial Statements'!D102/'Financial Statements'!D28</f>
        <v>8.0333341434558024E-4</v>
      </c>
    </row>
    <row r="48" spans="1:5" x14ac:dyDescent="0.25">
      <c r="A48" s="18">
        <f>+A46+0.1</f>
        <v>5.5999999999999979</v>
      </c>
      <c r="B48" s="1" t="s">
        <v>136</v>
      </c>
      <c r="C48" s="25" t="s">
        <v>150</v>
      </c>
      <c r="D48" s="25" t="s">
        <v>150</v>
      </c>
      <c r="E48" s="25" t="s">
        <v>150</v>
      </c>
    </row>
    <row r="49" spans="1:5" x14ac:dyDescent="0.25">
      <c r="A49" s="18">
        <f t="shared" ref="A49:A52" si="7">+A47+0.1</f>
        <v>0.1</v>
      </c>
      <c r="B49" s="1" t="s">
        <v>137</v>
      </c>
      <c r="C49" s="24">
        <f>'Financial Statements'!B22/(('Financial Statements'!B68+'Financial Statements'!C68)/2)</f>
        <v>1.7545929220653644</v>
      </c>
      <c r="D49" s="24">
        <f>'Financial Statements'!C22/(('Financial Statements'!C68+'Financial Statements'!D68)/2)</f>
        <v>1.4744333444938449</v>
      </c>
      <c r="E49" s="29" t="s">
        <v>150</v>
      </c>
    </row>
    <row r="50" spans="1:5" x14ac:dyDescent="0.25">
      <c r="A50" s="18">
        <f t="shared" si="7"/>
        <v>5.6999999999999975</v>
      </c>
      <c r="B50" s="1" t="s">
        <v>138</v>
      </c>
      <c r="C50" s="24">
        <f>C22/('Financial Statements'!B48-'Financial Statements'!B56)</f>
        <v>0.59919103701206899</v>
      </c>
      <c r="D50" s="24">
        <f>D22/('Financial Statements'!C48-'Financial Statements'!C56)</f>
        <v>0.48424315252238148</v>
      </c>
      <c r="E50" s="24">
        <f>E22/('Financial Statements'!D48-'Financial Statements'!D56)</f>
        <v>0.30705825278265964</v>
      </c>
    </row>
    <row r="51" spans="1:5" x14ac:dyDescent="0.25">
      <c r="A51" s="18">
        <f t="shared" si="7"/>
        <v>0.2</v>
      </c>
      <c r="B51" s="1" t="s">
        <v>128</v>
      </c>
      <c r="C51" s="24">
        <f>'Financial Statements'!B22/(('Financial Statements'!B48+'Financial Statements'!C48)/2)</f>
        <v>0.28362915040276687</v>
      </c>
      <c r="D51" s="24">
        <f>'Financial Statements'!C22/(('Financial Statements'!C48+'Financial Statements'!D48)/2)</f>
        <v>0.28057905732786081</v>
      </c>
      <c r="E51" s="25" t="s">
        <v>150</v>
      </c>
    </row>
    <row r="52" spans="1:5" x14ac:dyDescent="0.25">
      <c r="A52" s="18">
        <f t="shared" si="7"/>
        <v>5.7999999999999972</v>
      </c>
      <c r="B52" s="1" t="s">
        <v>139</v>
      </c>
      <c r="C52" s="23">
        <f>C53/C20</f>
        <v>16250.067822906214</v>
      </c>
      <c r="D52" s="23">
        <f t="shared" ref="D52:E52" si="8">D53/D20</f>
        <v>24908.198629577568</v>
      </c>
      <c r="E52" s="23">
        <f t="shared" si="8"/>
        <v>30071.991876034339</v>
      </c>
    </row>
    <row r="53" spans="1:5" x14ac:dyDescent="0.25">
      <c r="A53" s="18"/>
      <c r="B53" s="3" t="s">
        <v>140</v>
      </c>
      <c r="C53" s="23">
        <f>C54+('Financial Statements'!B55+'Financial Statements'!B59)-'Financial Statements'!B36</f>
        <v>2121300103.6700001</v>
      </c>
      <c r="D53" s="23">
        <f>D54+('Financial Statements'!C55+'Financial Statements'!C59)-'Financial Statements'!C36</f>
        <v>2994787445.8299999</v>
      </c>
      <c r="E53" s="23">
        <f>E54+('Financial Statements'!D55+'Financial Statements'!D59)-'Financial Statements'!D36</f>
        <v>2325888139.6599998</v>
      </c>
    </row>
    <row r="54" spans="1:5" x14ac:dyDescent="0.25">
      <c r="B54" s="27" t="s">
        <v>152</v>
      </c>
      <c r="C54" s="30">
        <f>C31*'Financial Statements'!B28</f>
        <v>2121213662.6700001</v>
      </c>
      <c r="D54" s="30">
        <f>D31*'Financial Statements'!C28</f>
        <v>2994703666.8299999</v>
      </c>
      <c r="E54" s="30">
        <f>E31*'Financial Statements'!D28</f>
        <v>2325818715.6599998</v>
      </c>
    </row>
    <row r="56" spans="1:5" x14ac:dyDescent="0.25">
      <c r="A56" s="18">
        <f>+A41+1</f>
        <v>6</v>
      </c>
      <c r="B56" s="17" t="s">
        <v>153</v>
      </c>
    </row>
    <row r="57" spans="1:5" x14ac:dyDescent="0.25">
      <c r="A57" s="18">
        <f>+A56+0.1</f>
        <v>6.1</v>
      </c>
      <c r="B57" s="1" t="s">
        <v>154</v>
      </c>
      <c r="C57" s="24">
        <f>('Financial Statements'!B6-'Financial Statements'!C6)/'Financial Statements'!C6</f>
        <v>6.3239764351428418E-2</v>
      </c>
      <c r="D57" s="24">
        <f>('Financial Statements'!C6-'Financial Statements'!D6)/'Financial Statements'!D6</f>
        <v>0.34720743656765435</v>
      </c>
      <c r="E57" s="25" t="s">
        <v>150</v>
      </c>
    </row>
    <row r="58" spans="1:5" x14ac:dyDescent="0.25">
      <c r="A58" s="18">
        <f t="shared" ref="A58:A67" si="9">+A57+0.1</f>
        <v>6.1999999999999993</v>
      </c>
      <c r="B58" s="1" t="s">
        <v>155</v>
      </c>
      <c r="C58" s="24">
        <f>('Financial Statements'!B7-'Financial Statements'!C7)/'Financial Statements'!C7</f>
        <v>0.14181951041286078</v>
      </c>
      <c r="D58" s="24">
        <f>('Financial Statements'!C7-'Financial Statements'!D7)/'Financial Statements'!D7</f>
        <v>0.27259708376729652</v>
      </c>
      <c r="E58" s="25" t="s">
        <v>150</v>
      </c>
    </row>
    <row r="59" spans="1:5" x14ac:dyDescent="0.25">
      <c r="A59" s="18">
        <f t="shared" si="9"/>
        <v>6.2999999999999989</v>
      </c>
      <c r="B59" s="11" t="s">
        <v>6</v>
      </c>
      <c r="C59" s="24">
        <f>('Financial Statements'!B8-'Financial Statements'!C8)/'Financial Statements'!C8</f>
        <v>7.7937876041846058E-2</v>
      </c>
      <c r="D59" s="24">
        <f>('Financial Statements'!C8-'Financial Statements'!D8)/'Financial Statements'!D8</f>
        <v>0.33259384733074693</v>
      </c>
      <c r="E59" s="25" t="s">
        <v>150</v>
      </c>
    </row>
    <row r="60" spans="1:5" x14ac:dyDescent="0.25">
      <c r="A60" s="18">
        <f t="shared" si="9"/>
        <v>6.3999999999999986</v>
      </c>
      <c r="B60" s="11" t="s">
        <v>9</v>
      </c>
      <c r="C60" s="24">
        <f>('Financial Statements'!B10-'Financial Statements'!C10)/'Financial Statements'!C10</f>
        <v>4.7876379599097081E-2</v>
      </c>
      <c r="D60" s="24">
        <f>('Financial Statements'!C10-'Financial Statements'!D10)/'Financial Statements'!D10</f>
        <v>0.27087767539626934</v>
      </c>
      <c r="E60" s="25" t="s">
        <v>150</v>
      </c>
    </row>
    <row r="61" spans="1:5" x14ac:dyDescent="0.25">
      <c r="A61" s="18">
        <f t="shared" si="9"/>
        <v>6.4999999999999982</v>
      </c>
      <c r="B61" s="1" t="s">
        <v>11</v>
      </c>
      <c r="C61" s="24">
        <f>('Financial Statements'!B15-'Financial Statements'!C15)/'Financial Statements'!C15</f>
        <v>0.19791001186456147</v>
      </c>
      <c r="D61" s="24">
        <f>('Financial Statements'!C15-'Financial Statements'!D15)/'Financial Statements'!D15</f>
        <v>0.16862201365187712</v>
      </c>
      <c r="E61" s="25" t="s">
        <v>150</v>
      </c>
    </row>
    <row r="62" spans="1:5" x14ac:dyDescent="0.25">
      <c r="A62" s="18">
        <f t="shared" si="9"/>
        <v>6.5999999999999979</v>
      </c>
      <c r="B62" s="1" t="s">
        <v>12</v>
      </c>
      <c r="C62" s="24">
        <f>('Financial Statements'!B16-'Financial Statements'!C16)/'Financial Statements'!C16</f>
        <v>0.14203795567287125</v>
      </c>
      <c r="D62" s="24">
        <f>('Financial Statements'!C16-'Financial Statements'!D16)/'Financial Statements'!D16</f>
        <v>0.10328379192608958</v>
      </c>
      <c r="E62" s="25" t="s">
        <v>150</v>
      </c>
    </row>
    <row r="63" spans="1:5" x14ac:dyDescent="0.25">
      <c r="A63" s="18">
        <f t="shared" si="9"/>
        <v>6.6999999999999975</v>
      </c>
      <c r="B63" s="1" t="s">
        <v>31</v>
      </c>
      <c r="C63" s="24">
        <f>('Financial Statements'!B42-'Financial Statements'!C42)/'Financial Statements'!C42</f>
        <v>4.2199412619775131E-3</v>
      </c>
      <c r="D63" s="24">
        <f>('Financial Statements'!C42-'Financial Statements'!D42)/'Financial Statements'!D42</f>
        <v>-6.176894226687913E-2</v>
      </c>
      <c r="E63" s="25" t="s">
        <v>150</v>
      </c>
    </row>
    <row r="64" spans="1:5" x14ac:dyDescent="0.25">
      <c r="A64" s="18">
        <f t="shared" si="9"/>
        <v>6.7999999999999972</v>
      </c>
      <c r="B64" s="1" t="s">
        <v>50</v>
      </c>
      <c r="C64" s="24">
        <f>('Financial Statements'!B47-'Financial Statements'!C47)/'Financial Statements'!C47</f>
        <v>5.4772720964443994E-3</v>
      </c>
      <c r="D64" s="24">
        <f>('Financial Statements'!C47-'Financial Statements'!D47)/'Financial Statements'!D47</f>
        <v>0.19975579297904814</v>
      </c>
      <c r="E64" s="25" t="s">
        <v>150</v>
      </c>
    </row>
    <row r="65" spans="1:5" x14ac:dyDescent="0.25">
      <c r="A65" s="18">
        <f t="shared" si="9"/>
        <v>6.8999999999999968</v>
      </c>
      <c r="B65" s="1" t="s">
        <v>40</v>
      </c>
      <c r="C65" s="24">
        <f>('Financial Statements'!B56-'Financial Statements'!C56)/'Financial Statements'!C56</f>
        <v>0.22713398841258836</v>
      </c>
      <c r="D65" s="24">
        <f>('Financial Statements'!C56-'Financial Statements'!D56)/'Financial Statements'!D56</f>
        <v>0.19061219067860938</v>
      </c>
      <c r="E65" s="25" t="s">
        <v>150</v>
      </c>
    </row>
    <row r="66" spans="1:5" x14ac:dyDescent="0.25">
      <c r="A66" s="18">
        <f t="shared" si="9"/>
        <v>6.9999999999999964</v>
      </c>
      <c r="B66" s="1" t="s">
        <v>53</v>
      </c>
      <c r="C66" s="24">
        <f>('Financial Statements'!B61-'Financial Statements'!C61)/'Financial Statements'!C61</f>
        <v>-8.8222075835277747E-2</v>
      </c>
      <c r="D66" s="24">
        <f>('Financial Statements'!C61-'Financial Statements'!D61)/'Financial Statements'!D61</f>
        <v>6.0552243775994566E-2</v>
      </c>
      <c r="E66" s="25" t="s">
        <v>150</v>
      </c>
    </row>
    <row r="67" spans="1:5" x14ac:dyDescent="0.25">
      <c r="A67" s="18">
        <f t="shared" si="9"/>
        <v>7.0999999999999961</v>
      </c>
      <c r="B67" s="1" t="s">
        <v>45</v>
      </c>
      <c r="C67" s="24">
        <f>('Financial Statements'!B68-'Financial Statements'!C68)/'Financial Statements'!C68</f>
        <v>-0.19682992550324932</v>
      </c>
      <c r="D67" s="24">
        <f>('Financial Statements'!C68-'Financial Statements'!D68)/'Financial Statements'!D68</f>
        <v>-3.4420483937617659E-2</v>
      </c>
      <c r="E67" s="25" t="s">
        <v>150</v>
      </c>
    </row>
    <row r="69" spans="1:5" x14ac:dyDescent="0.25">
      <c r="A69" s="18">
        <f>+A56+1</f>
        <v>7</v>
      </c>
      <c r="B69" s="17" t="s">
        <v>156</v>
      </c>
    </row>
    <row r="70" spans="1:5" x14ac:dyDescent="0.25">
      <c r="A70" s="18">
        <f>+A69+0.1</f>
        <v>7.1</v>
      </c>
      <c r="B70" s="11" t="s">
        <v>8</v>
      </c>
      <c r="C70" s="24">
        <f>'Financial Statements'!B12/'Financial Statements'!B8</f>
        <v>0.56690369438639909</v>
      </c>
      <c r="D70" s="24">
        <f>'Financial Statements'!C12/'Financial Statements'!C8</f>
        <v>0.58220640374832222</v>
      </c>
      <c r="E70" s="24">
        <f>'Financial Statements'!D12/'Financial Statements'!D8</f>
        <v>0.61766752272189129</v>
      </c>
    </row>
    <row r="71" spans="1:5" x14ac:dyDescent="0.25">
      <c r="A71" s="18">
        <f t="shared" ref="A71:A76" si="10">+A70+0.1</f>
        <v>7.1999999999999993</v>
      </c>
      <c r="B71" s="11" t="s">
        <v>9</v>
      </c>
      <c r="C71" s="24">
        <f>'Financial Statements'!B13/'Financial Statements'!B8</f>
        <v>0.43309630561360085</v>
      </c>
      <c r="D71" s="24">
        <f>'Financial Statements'!C13/'Financial Statements'!C8</f>
        <v>0.41779359625167778</v>
      </c>
      <c r="E71" s="24">
        <f>'Financial Statements'!D13/'Financial Statements'!D8</f>
        <v>0.38233247727810865</v>
      </c>
    </row>
    <row r="72" spans="1:5" x14ac:dyDescent="0.25">
      <c r="A72" s="18">
        <f t="shared" si="10"/>
        <v>7.2999999999999989</v>
      </c>
      <c r="B72" s="1" t="s">
        <v>157</v>
      </c>
      <c r="C72" s="24">
        <f>'Financial Statements'!B15/'Financial Statements'!B8</f>
        <v>6.657148363798665E-2</v>
      </c>
      <c r="D72" s="24">
        <f>'Financial Statements'!C15/'Financial Statements'!C8</f>
        <v>5.9904269074427925E-2</v>
      </c>
      <c r="E72" s="24">
        <f>'Financial Statements'!D15/'Financial Statements'!D8</f>
        <v>6.8309564140393061E-2</v>
      </c>
    </row>
    <row r="73" spans="1:5" x14ac:dyDescent="0.25">
      <c r="A73" s="18">
        <f t="shared" si="10"/>
        <v>7.3999999999999986</v>
      </c>
      <c r="B73" s="1" t="s">
        <v>158</v>
      </c>
      <c r="C73" s="24">
        <f>'Financial Statements'!B16/'Financial Statements'!B8</f>
        <v>6.3637378020328261E-2</v>
      </c>
      <c r="D73" s="24">
        <f>'Financial Statements'!C16/'Financial Statements'!C8</f>
        <v>6.006555190163388E-2</v>
      </c>
      <c r="E73" s="24">
        <f>'Financial Statements'!D16/'Financial Statements'!D8</f>
        <v>7.2549769593646979E-2</v>
      </c>
    </row>
    <row r="74" spans="1:5" x14ac:dyDescent="0.25">
      <c r="A74" s="18">
        <f t="shared" si="10"/>
        <v>7.4999999999999982</v>
      </c>
      <c r="B74" s="11" t="s">
        <v>13</v>
      </c>
      <c r="C74" s="24">
        <f>'Financial Statements'!B17/'Financial Statements'!B8</f>
        <v>0.13020886165831491</v>
      </c>
      <c r="D74" s="24">
        <f>'Financial Statements'!C17/'Financial Statements'!C8</f>
        <v>0.11996982097606181</v>
      </c>
      <c r="E74" s="24">
        <f>'Financial Statements'!D17/'Financial Statements'!D8</f>
        <v>0.14085933373404003</v>
      </c>
    </row>
    <row r="75" spans="1:5" x14ac:dyDescent="0.25">
      <c r="A75" s="18">
        <f t="shared" si="10"/>
        <v>7.5999999999999979</v>
      </c>
      <c r="B75" s="11" t="s">
        <v>14</v>
      </c>
      <c r="C75" s="24">
        <f>'Financial Statements'!B18/'Financial Statements'!B8</f>
        <v>0.30288744395528594</v>
      </c>
      <c r="D75" s="24">
        <f>'Financial Statements'!C18/'Financial Statements'!C8</f>
        <v>0.29782377527561593</v>
      </c>
      <c r="E75" s="24">
        <f>'Financial Statements'!D18/'Financial Statements'!D8</f>
        <v>0.24147314354406862</v>
      </c>
    </row>
    <row r="76" spans="1:5" x14ac:dyDescent="0.25">
      <c r="A76" s="18">
        <f t="shared" si="10"/>
        <v>7.6999999999999975</v>
      </c>
      <c r="B76" s="11" t="s">
        <v>18</v>
      </c>
      <c r="C76" s="24">
        <f>'Financial Statements'!B22/'Financial Statements'!B8</f>
        <v>0.25309640705199732</v>
      </c>
      <c r="D76" s="24">
        <f>'Financial Statements'!C22/'Financial Statements'!C8</f>
        <v>0.25881793355694238</v>
      </c>
      <c r="E76" s="24">
        <f>'Financial Statements'!D22/'Financial Statements'!D8</f>
        <v>0.20913611278072236</v>
      </c>
    </row>
    <row r="78" spans="1:5" x14ac:dyDescent="0.25">
      <c r="A78" s="18">
        <f>+A69+1</f>
        <v>8</v>
      </c>
      <c r="B78" s="1" t="s">
        <v>94</v>
      </c>
      <c r="C78" s="24">
        <f>'Financial Statements'!B21/'Financial Statements'!B20</f>
        <v>0.16204461684424407</v>
      </c>
      <c r="D78" s="24">
        <f>'Financial Statements'!C21/'Financial Statements'!C20</f>
        <v>0.13302260844085087</v>
      </c>
      <c r="E78" s="24">
        <f>'Financial Statements'!D21/'Financial Statements'!D20</f>
        <v>0.14428164731484103</v>
      </c>
    </row>
    <row r="79" spans="1:5" x14ac:dyDescent="0.25">
      <c r="A79" s="18">
        <f>+A78+1</f>
        <v>9</v>
      </c>
      <c r="B79" s="1" t="s">
        <v>95</v>
      </c>
      <c r="C79" s="24">
        <f>-'Financial Statements'!B96/'Financial Statements'!B8</f>
        <v>2.7155058732831552E-2</v>
      </c>
      <c r="D79" s="24">
        <f>-'Financial Statements'!C96/'Financial Statements'!C8</f>
        <v>3.0302036264033657E-2</v>
      </c>
      <c r="E79" s="24">
        <f>-'Financial Statements'!D96/'Financial Statements'!D8</f>
        <v>2.6625138881299748E-2</v>
      </c>
    </row>
    <row r="80" spans="1:5" x14ac:dyDescent="0.25">
      <c r="A80" s="18">
        <f>+A79+1</f>
        <v>10</v>
      </c>
      <c r="B80" s="1" t="s">
        <v>96</v>
      </c>
      <c r="C80" s="24">
        <f>-'Financial Statements'!B96/'Financial Statements'!B45</f>
        <v>0.25424412944891611</v>
      </c>
      <c r="D80" s="24">
        <f>-'Financial Statements'!C96/'Financial Statements'!C45</f>
        <v>0.28105983772819471</v>
      </c>
      <c r="E80" s="24">
        <f>-'Financial Statements'!D96/'Financial Statements'!D45</f>
        <v>0.19879780231735844</v>
      </c>
    </row>
  </sheetData>
  <mergeCells count="1">
    <mergeCell ref="C2:E2"/>
  </mergeCells>
  <pageMargins left="0.7" right="0.7" top="0.75" bottom="0.75" header="0.3" footer="0.3"/>
  <ignoredErrors>
    <ignoredError sqref="C20:E2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EF629-E2A7-498B-B6CD-B7361A5196D2}">
  <dimension ref="B1:S54"/>
  <sheetViews>
    <sheetView tabSelected="1" workbookViewId="0">
      <selection activeCell="B8" sqref="B8:E9"/>
    </sheetView>
  </sheetViews>
  <sheetFormatPr defaultRowHeight="15" x14ac:dyDescent="0.25"/>
  <cols>
    <col min="2" max="2" width="30" bestFit="1" customWidth="1"/>
    <col min="3" max="5" width="8.5703125" bestFit="1" customWidth="1"/>
    <col min="6" max="8" width="9.5703125" bestFit="1" customWidth="1"/>
  </cols>
  <sheetData>
    <row r="1" spans="2:19" x14ac:dyDescent="0.25">
      <c r="B1" s="7" t="s">
        <v>99</v>
      </c>
    </row>
    <row r="2" spans="2:19" x14ac:dyDescent="0.25">
      <c r="C2" s="7">
        <v>2020</v>
      </c>
      <c r="D2" s="7">
        <v>2021</v>
      </c>
      <c r="E2" s="7">
        <v>2022</v>
      </c>
      <c r="Q2" s="7"/>
      <c r="R2" s="7"/>
      <c r="S2" s="7"/>
    </row>
    <row r="3" spans="2:19" x14ac:dyDescent="0.25">
      <c r="B3" t="s">
        <v>100</v>
      </c>
      <c r="C3" s="23">
        <v>1.3636044481554577</v>
      </c>
      <c r="D3" s="23">
        <v>1.0745531195957954</v>
      </c>
      <c r="E3" s="23">
        <v>0.87935602862672257</v>
      </c>
      <c r="Q3" s="23"/>
      <c r="R3" s="23"/>
      <c r="S3" s="23"/>
    </row>
    <row r="4" spans="2:19" x14ac:dyDescent="0.25">
      <c r="C4" s="7">
        <v>2020</v>
      </c>
      <c r="D4" s="7">
        <v>2021</v>
      </c>
      <c r="E4" s="7">
        <v>2022</v>
      </c>
      <c r="Q4" s="23"/>
      <c r="R4" s="23"/>
      <c r="S4" s="23"/>
    </row>
    <row r="5" spans="2:19" x14ac:dyDescent="0.25">
      <c r="B5" t="s">
        <v>101</v>
      </c>
      <c r="C5" s="23">
        <v>1.325072111735236</v>
      </c>
      <c r="D5" s="23">
        <v>1.0221149018576519</v>
      </c>
      <c r="E5" s="23">
        <v>0.84723539114961488</v>
      </c>
      <c r="Q5" s="23"/>
      <c r="R5" s="23"/>
      <c r="S5" s="23"/>
    </row>
    <row r="6" spans="2:19" x14ac:dyDescent="0.25">
      <c r="C6" s="7">
        <v>2020</v>
      </c>
      <c r="D6" s="7">
        <v>2021</v>
      </c>
      <c r="E6" s="7">
        <v>2022</v>
      </c>
      <c r="Q6" s="23"/>
      <c r="R6" s="23"/>
      <c r="S6" s="23"/>
    </row>
    <row r="7" spans="2:19" x14ac:dyDescent="0.25">
      <c r="B7" t="s">
        <v>102</v>
      </c>
      <c r="C7" s="23">
        <v>0.86290230757552755</v>
      </c>
      <c r="D7" s="23">
        <v>0.49919111259872012</v>
      </c>
      <c r="E7" s="23">
        <v>0.31369900377966253</v>
      </c>
    </row>
    <row r="8" spans="2:19" x14ac:dyDescent="0.25">
      <c r="C8" s="7">
        <v>2020</v>
      </c>
      <c r="D8" s="7">
        <v>2021</v>
      </c>
      <c r="E8" s="7">
        <v>2022</v>
      </c>
      <c r="Q8" s="7"/>
      <c r="R8" s="7"/>
      <c r="S8" s="7"/>
    </row>
    <row r="9" spans="2:19" x14ac:dyDescent="0.25">
      <c r="B9" t="s">
        <v>103</v>
      </c>
      <c r="C9" s="23">
        <v>1010.6029533464364</v>
      </c>
      <c r="D9" s="23">
        <v>739.50611798482464</v>
      </c>
      <c r="E9" s="23">
        <v>543.73590417762193</v>
      </c>
    </row>
    <row r="10" spans="2:19" x14ac:dyDescent="0.25">
      <c r="C10" s="7">
        <v>2020</v>
      </c>
      <c r="D10" s="7">
        <v>2021</v>
      </c>
      <c r="E10" s="7">
        <v>2022</v>
      </c>
      <c r="F10" s="23"/>
    </row>
    <row r="11" spans="2:19" x14ac:dyDescent="0.25">
      <c r="B11" s="1" t="s">
        <v>108</v>
      </c>
      <c r="C11" s="24">
        <v>-4.711052727678481E-2</v>
      </c>
      <c r="D11" s="24">
        <v>2.557289573748623E-2</v>
      </c>
      <c r="E11" s="24">
        <v>0.13959528623208203</v>
      </c>
      <c r="F11" s="23"/>
    </row>
    <row r="13" spans="2:19" x14ac:dyDescent="0.25">
      <c r="B13" s="17" t="s">
        <v>110</v>
      </c>
    </row>
    <row r="14" spans="2:19" x14ac:dyDescent="0.25">
      <c r="C14" s="7">
        <v>2020</v>
      </c>
      <c r="D14" s="7">
        <v>2021</v>
      </c>
      <c r="E14" s="7">
        <v>2022</v>
      </c>
    </row>
    <row r="15" spans="2:19" x14ac:dyDescent="0.25">
      <c r="B15" s="1" t="s">
        <v>9</v>
      </c>
      <c r="C15" s="24">
        <v>0.4754583301245317</v>
      </c>
      <c r="D15" s="24">
        <v>0.51392102006778928</v>
      </c>
      <c r="E15" s="24">
        <v>0.54010923500706831</v>
      </c>
    </row>
    <row r="16" spans="2:19" x14ac:dyDescent="0.25">
      <c r="C16" s="7">
        <v>2020</v>
      </c>
      <c r="D16" s="7">
        <v>2021</v>
      </c>
      <c r="E16" s="7">
        <v>2022</v>
      </c>
    </row>
    <row r="17" spans="2:5" x14ac:dyDescent="0.25">
      <c r="B17" s="1" t="s">
        <v>111</v>
      </c>
      <c r="C17" s="24">
        <v>0.35037395751697648</v>
      </c>
      <c r="D17" s="24">
        <v>0.4042913057513316</v>
      </c>
      <c r="E17" s="24">
        <v>0.41284444289830141</v>
      </c>
    </row>
    <row r="18" spans="2:5" x14ac:dyDescent="0.25">
      <c r="C18" s="7">
        <v>2020</v>
      </c>
      <c r="D18" s="7">
        <v>2021</v>
      </c>
      <c r="E18" s="7">
        <v>2022</v>
      </c>
    </row>
    <row r="19" spans="2:5" x14ac:dyDescent="0.25">
      <c r="B19" s="1" t="s">
        <v>113</v>
      </c>
      <c r="C19" s="24">
        <v>0.30392712018736384</v>
      </c>
      <c r="D19" s="24">
        <v>0.36721566148383278</v>
      </c>
      <c r="E19" s="24">
        <v>0.37667102046496037</v>
      </c>
    </row>
    <row r="20" spans="2:5" x14ac:dyDescent="0.25">
      <c r="C20" s="7">
        <v>2020</v>
      </c>
      <c r="D20" s="7">
        <v>2021</v>
      </c>
      <c r="E20" s="7">
        <v>2022</v>
      </c>
    </row>
    <row r="21" spans="2:5" x14ac:dyDescent="0.25">
      <c r="B21" s="1" t="s">
        <v>115</v>
      </c>
      <c r="C21" s="24">
        <v>0.26007601462307528</v>
      </c>
      <c r="D21" s="24">
        <v>0.31836767633292085</v>
      </c>
      <c r="E21" s="24">
        <v>0.31563350927738543</v>
      </c>
    </row>
    <row r="22" spans="2:5" x14ac:dyDescent="0.25">
      <c r="C22" s="7">
        <v>2020</v>
      </c>
      <c r="D22" s="7">
        <v>2021</v>
      </c>
      <c r="E22" s="7">
        <v>2022</v>
      </c>
    </row>
    <row r="23" spans="2:5" x14ac:dyDescent="0.25">
      <c r="B23" s="1" t="s">
        <v>128</v>
      </c>
      <c r="C23" s="25"/>
      <c r="D23" s="24">
        <v>0.28057905732786081</v>
      </c>
      <c r="E23" s="24">
        <v>0.28362915040276687</v>
      </c>
    </row>
    <row r="24" spans="2:5" x14ac:dyDescent="0.25">
      <c r="C24" s="7">
        <v>2020</v>
      </c>
      <c r="D24" s="7">
        <v>2021</v>
      </c>
      <c r="E24" s="7">
        <v>2022</v>
      </c>
    </row>
    <row r="25" spans="2:5" x14ac:dyDescent="0.25">
      <c r="B25" s="1" t="s">
        <v>137</v>
      </c>
      <c r="C25" s="25"/>
      <c r="D25" s="24">
        <v>1.4744333444938449</v>
      </c>
      <c r="E25" s="24">
        <v>1.7545929220653644</v>
      </c>
    </row>
    <row r="26" spans="2:5" x14ac:dyDescent="0.25">
      <c r="B26" s="1"/>
      <c r="C26" s="25"/>
      <c r="D26" s="24"/>
      <c r="E26" s="24"/>
    </row>
    <row r="27" spans="2:5" x14ac:dyDescent="0.25">
      <c r="B27" s="7" t="s">
        <v>159</v>
      </c>
    </row>
    <row r="28" spans="2:5" x14ac:dyDescent="0.25">
      <c r="C28" s="7">
        <v>2020</v>
      </c>
      <c r="D28" s="7">
        <v>2021</v>
      </c>
      <c r="E28" s="7">
        <v>2022</v>
      </c>
    </row>
    <row r="29" spans="2:5" x14ac:dyDescent="0.25">
      <c r="B29" t="s">
        <v>117</v>
      </c>
      <c r="C29" s="23">
        <v>1.6443471739696047</v>
      </c>
      <c r="D29" s="23">
        <v>1.8817403708987162</v>
      </c>
      <c r="E29" s="23">
        <v>2.1725410483107042</v>
      </c>
    </row>
    <row r="30" spans="2:5" x14ac:dyDescent="0.25">
      <c r="C30" s="7">
        <v>2020</v>
      </c>
      <c r="D30" s="7">
        <v>2021</v>
      </c>
      <c r="E30" s="7">
        <v>2022</v>
      </c>
    </row>
    <row r="31" spans="2:5" x14ac:dyDescent="0.25">
      <c r="B31" t="s">
        <v>118</v>
      </c>
      <c r="C31" s="23">
        <v>0.49363360173887272</v>
      </c>
      <c r="D31" s="23">
        <v>0.50941590076409826</v>
      </c>
      <c r="E31" s="23">
        <v>0.57582174597099967</v>
      </c>
    </row>
    <row r="32" spans="2:5" x14ac:dyDescent="0.25">
      <c r="C32" s="7">
        <v>2020</v>
      </c>
      <c r="D32" s="7">
        <v>2021</v>
      </c>
      <c r="E32" s="7">
        <v>2022</v>
      </c>
    </row>
    <row r="33" spans="2:5" x14ac:dyDescent="0.25">
      <c r="B33" t="s">
        <v>119</v>
      </c>
      <c r="C33" s="23">
        <v>0.60160603880345842</v>
      </c>
      <c r="D33" s="23">
        <v>0.63361518269878514</v>
      </c>
      <c r="E33" s="23">
        <v>0.66135359651409131</v>
      </c>
    </row>
    <row r="37" spans="2:5" x14ac:dyDescent="0.25">
      <c r="B37" s="7" t="s">
        <v>160</v>
      </c>
    </row>
    <row r="38" spans="2:5" x14ac:dyDescent="0.25">
      <c r="C38" s="7">
        <v>2020</v>
      </c>
      <c r="D38" s="7">
        <v>2021</v>
      </c>
      <c r="E38" s="7">
        <v>2022</v>
      </c>
    </row>
    <row r="39" spans="2:5" x14ac:dyDescent="0.25">
      <c r="B39" s="1" t="s">
        <v>125</v>
      </c>
      <c r="D39" s="23">
        <f>'Financial Statements'!C8/(('Financial Statements'!D48+'Financial Statements'!C48)/2)</f>
        <v>1.084078886929722</v>
      </c>
      <c r="E39" s="23">
        <f>'Financial Statements'!B8/(('Financial Statements'!C48+'Financial Statements'!B48)/2)</f>
        <v>1.1206368107173357</v>
      </c>
    </row>
    <row r="40" spans="2:5" x14ac:dyDescent="0.25">
      <c r="C40" s="7">
        <v>2020</v>
      </c>
      <c r="D40" s="7">
        <v>2021</v>
      </c>
      <c r="E40" s="7">
        <v>2022</v>
      </c>
    </row>
    <row r="41" spans="2:5" x14ac:dyDescent="0.25">
      <c r="B41" s="1" t="s">
        <v>126</v>
      </c>
      <c r="D41" s="23">
        <f>'Financial Statements'!C8/(('Financial Statements'!C45+'Financial Statements'!D45)/2)</f>
        <v>9.6007400992047867</v>
      </c>
      <c r="E41" s="23">
        <f>'Financial Statements'!B8/(('Financial Statements'!B45+'Financial Statements'!C45)/2)</f>
        <v>9.6699976703409884</v>
      </c>
    </row>
    <row r="42" spans="2:5" x14ac:dyDescent="0.25">
      <c r="C42" s="7">
        <v>2020</v>
      </c>
      <c r="D42" s="7">
        <v>2021</v>
      </c>
      <c r="E42" s="7">
        <v>2022</v>
      </c>
    </row>
    <row r="43" spans="2:5" x14ac:dyDescent="0.25">
      <c r="B43" s="1" t="s">
        <v>127</v>
      </c>
      <c r="D43" s="23">
        <f>'Financial Statements'!C12/(('Financial Statements'!C39+'Financial Statements'!D39)/2)</f>
        <v>40.030260313880277</v>
      </c>
      <c r="E43" s="23">
        <f>'Financial Statements'!B12/(('Financial Statements'!B39+'Financial Statements'!C39)/2)</f>
        <v>38.789866389033492</v>
      </c>
    </row>
    <row r="44" spans="2:5" x14ac:dyDescent="0.25">
      <c r="C44" s="7">
        <v>2020</v>
      </c>
      <c r="D44" s="7">
        <v>2021</v>
      </c>
      <c r="E44" s="7">
        <v>2022</v>
      </c>
    </row>
    <row r="45" spans="2:5" x14ac:dyDescent="0.25">
      <c r="B45" s="1" t="s">
        <v>95</v>
      </c>
      <c r="C45" s="24">
        <v>2.6625138881299748E-2</v>
      </c>
      <c r="D45" s="24">
        <v>3.0302036264033657E-2</v>
      </c>
      <c r="E45" s="24">
        <v>2.7155058732831552E-2</v>
      </c>
    </row>
    <row r="48" spans="2:5" x14ac:dyDescent="0.25">
      <c r="B48" s="7" t="s">
        <v>161</v>
      </c>
    </row>
    <row r="49" spans="2:5" x14ac:dyDescent="0.25">
      <c r="C49" s="7">
        <v>2020</v>
      </c>
      <c r="D49" s="7">
        <v>2021</v>
      </c>
      <c r="E49" s="7">
        <v>2022</v>
      </c>
    </row>
    <row r="50" spans="2:5" x14ac:dyDescent="0.25">
      <c r="B50" s="1" t="s">
        <v>162</v>
      </c>
      <c r="C50" s="23">
        <v>40.454268292682926</v>
      </c>
      <c r="D50" s="23">
        <v>31.652406417112296</v>
      </c>
      <c r="E50" s="23">
        <v>21.265139116202946</v>
      </c>
    </row>
    <row r="51" spans="2:5" x14ac:dyDescent="0.25">
      <c r="C51" s="7">
        <v>2020</v>
      </c>
      <c r="D51" s="7">
        <v>2021</v>
      </c>
      <c r="E51" s="7">
        <v>2022</v>
      </c>
    </row>
    <row r="52" spans="2:5" x14ac:dyDescent="0.25">
      <c r="B52" s="1" t="s">
        <v>132</v>
      </c>
      <c r="C52" s="31">
        <v>35596.178632363517</v>
      </c>
      <c r="D52" s="31">
        <v>47467.168597717544</v>
      </c>
      <c r="E52" s="31">
        <v>41861.652641892957</v>
      </c>
    </row>
    <row r="53" spans="2:5" x14ac:dyDescent="0.25">
      <c r="B53" s="1"/>
      <c r="C53" s="7">
        <v>2020</v>
      </c>
      <c r="D53" s="7">
        <v>2021</v>
      </c>
      <c r="E53" s="7">
        <v>2022</v>
      </c>
    </row>
    <row r="54" spans="2:5" x14ac:dyDescent="0.25">
      <c r="B54" s="1" t="s">
        <v>139</v>
      </c>
      <c r="C54" s="31">
        <v>30071.991876034339</v>
      </c>
      <c r="D54" s="31">
        <v>24908.198629577568</v>
      </c>
      <c r="E54" s="31">
        <v>16250.067822906214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Drashti Patel</cp:lastModifiedBy>
  <dcterms:created xsi:type="dcterms:W3CDTF">2020-05-18T16:32:37Z</dcterms:created>
  <dcterms:modified xsi:type="dcterms:W3CDTF">2024-09-11T19:18:35Z</dcterms:modified>
</cp:coreProperties>
</file>