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jackietse/Downloads/"/>
    </mc:Choice>
  </mc:AlternateContent>
  <xr:revisionPtr revIDLastSave="0" documentId="13_ncr:1_{5756091C-F9A1-6645-8480-8027CAB1C696}" xr6:coauthVersionLast="47" xr6:coauthVersionMax="47" xr10:uidLastSave="{00000000-0000-0000-0000-000000000000}"/>
  <bookViews>
    <workbookView xWindow="0" yWindow="740" windowWidth="30240" windowHeight="18900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6" i="1" l="1"/>
  <c r="I96" i="1"/>
  <c r="H97" i="1"/>
  <c r="I97" i="1"/>
  <c r="G97" i="1"/>
  <c r="G96" i="1"/>
  <c r="O22" i="1"/>
  <c r="P22" i="1"/>
  <c r="N22" i="1"/>
  <c r="J22" i="1"/>
  <c r="L22" i="1"/>
  <c r="K22" i="1"/>
  <c r="L18" i="1"/>
  <c r="K18" i="1"/>
  <c r="J18" i="1"/>
  <c r="L16" i="1"/>
  <c r="K16" i="1"/>
  <c r="J16" i="1"/>
  <c r="L15" i="1"/>
  <c r="K15" i="1"/>
  <c r="J15" i="1"/>
  <c r="K13" i="1"/>
  <c r="L13" i="1"/>
  <c r="J13" i="1"/>
  <c r="K12" i="1"/>
  <c r="L12" i="1"/>
  <c r="J12" i="1"/>
  <c r="G22" i="1"/>
  <c r="F22" i="1"/>
  <c r="G18" i="1"/>
  <c r="F18" i="1"/>
  <c r="G16" i="1"/>
  <c r="F16" i="1"/>
  <c r="G15" i="1"/>
  <c r="F15" i="1"/>
  <c r="G13" i="1"/>
  <c r="F13" i="1"/>
  <c r="G8" i="1"/>
  <c r="F8" i="1"/>
  <c r="F7" i="1"/>
  <c r="G7" i="1"/>
  <c r="G6" i="1"/>
  <c r="F6" i="1"/>
  <c r="D41" i="3"/>
  <c r="D40" i="3" s="1"/>
  <c r="E41" i="3"/>
  <c r="E40" i="3" s="1"/>
  <c r="D43" i="3"/>
  <c r="D42" i="3" s="1"/>
  <c r="E43" i="3"/>
  <c r="E42" i="3" s="1"/>
  <c r="D44" i="3"/>
  <c r="E44" i="3"/>
  <c r="D45" i="3"/>
  <c r="D46" i="3" s="1"/>
  <c r="E45" i="3"/>
  <c r="E46" i="3" s="1"/>
  <c r="D47" i="3"/>
  <c r="E47" i="3"/>
  <c r="D48" i="3"/>
  <c r="E48" i="3"/>
  <c r="D49" i="3"/>
  <c r="E49" i="3"/>
  <c r="D51" i="3"/>
  <c r="E51" i="3"/>
  <c r="C51" i="3"/>
  <c r="C49" i="3"/>
  <c r="C48" i="3"/>
  <c r="C47" i="3"/>
  <c r="C44" i="3"/>
  <c r="C45" i="3"/>
  <c r="C46" i="3" s="1"/>
  <c r="C43" i="3"/>
  <c r="C42" i="3" s="1"/>
  <c r="C41" i="3"/>
  <c r="C40" i="3" s="1"/>
  <c r="D5" i="3"/>
  <c r="E5" i="3"/>
  <c r="D6" i="3"/>
  <c r="E6" i="3"/>
  <c r="D7" i="3"/>
  <c r="E7" i="3"/>
  <c r="D8" i="3"/>
  <c r="E8" i="3"/>
  <c r="D9" i="3"/>
  <c r="E9" i="3"/>
  <c r="D10" i="3"/>
  <c r="E10" i="3"/>
  <c r="D11" i="3"/>
  <c r="E11" i="3"/>
  <c r="D14" i="3"/>
  <c r="D13" i="3" s="1"/>
  <c r="E14" i="3"/>
  <c r="E13" i="3" s="1"/>
  <c r="D17" i="3"/>
  <c r="E17" i="3"/>
  <c r="D19" i="3"/>
  <c r="D18" i="3" s="1"/>
  <c r="E19" i="3"/>
  <c r="E18" i="3" s="1"/>
  <c r="D21" i="3"/>
  <c r="D20" i="3" s="1"/>
  <c r="E21" i="3"/>
  <c r="E20" i="3" s="1"/>
  <c r="D22" i="3"/>
  <c r="E22" i="3"/>
  <c r="D25" i="3"/>
  <c r="E25" i="3"/>
  <c r="D26" i="3"/>
  <c r="E26" i="3"/>
  <c r="D27" i="3"/>
  <c r="E27" i="3"/>
  <c r="D28" i="3"/>
  <c r="E28" i="3"/>
  <c r="D29" i="3"/>
  <c r="E29" i="3"/>
  <c r="D31" i="3"/>
  <c r="D30" i="3" s="1"/>
  <c r="E31" i="3"/>
  <c r="E30" i="3" s="1"/>
  <c r="D37" i="3"/>
  <c r="E37" i="3"/>
  <c r="D34" i="3"/>
  <c r="D35" i="3"/>
  <c r="D36" i="3"/>
  <c r="C37" i="3"/>
  <c r="C36" i="3"/>
  <c r="C35" i="3"/>
  <c r="C34" i="3"/>
  <c r="C31" i="3"/>
  <c r="C30" i="3" s="1"/>
  <c r="C29" i="3"/>
  <c r="C28" i="3"/>
  <c r="C27" i="3"/>
  <c r="C26" i="3"/>
  <c r="C25" i="3"/>
  <c r="C22" i="3"/>
  <c r="C21" i="3"/>
  <c r="C20" i="3" s="1"/>
  <c r="C19" i="3"/>
  <c r="C18" i="3" s="1"/>
  <c r="C17" i="3"/>
  <c r="C14" i="3"/>
  <c r="C13" i="3" s="1"/>
  <c r="C8" i="3"/>
  <c r="C6" i="3"/>
  <c r="C11" i="3"/>
  <c r="C10" i="3"/>
  <c r="C9" i="3"/>
  <c r="C7" i="3"/>
  <c r="C5" i="3"/>
  <c r="D108" i="1"/>
  <c r="C108" i="1"/>
  <c r="B108" i="1"/>
  <c r="D99" i="1"/>
  <c r="C99" i="1"/>
  <c r="B99" i="1"/>
  <c r="E12" i="3" l="1"/>
  <c r="D12" i="3"/>
  <c r="C50" i="3"/>
  <c r="E50" i="3"/>
  <c r="D50" i="3"/>
  <c r="C12" i="3"/>
  <c r="D68" i="1"/>
  <c r="C68" i="1"/>
  <c r="B68" i="1"/>
  <c r="D61" i="1"/>
  <c r="C61" i="1"/>
  <c r="B61" i="1"/>
  <c r="D56" i="1"/>
  <c r="C56" i="1"/>
  <c r="C62" i="1" s="1"/>
  <c r="B56" i="1"/>
  <c r="D47" i="1"/>
  <c r="C47" i="1"/>
  <c r="B47" i="1"/>
  <c r="D42" i="1"/>
  <c r="C42" i="1"/>
  <c r="B42" i="1"/>
  <c r="B48" i="1" s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B8" i="1"/>
  <c r="E3" i="3"/>
  <c r="D3" i="3"/>
  <c r="C3" i="3"/>
  <c r="D33" i="1"/>
  <c r="D73" i="1" s="1"/>
  <c r="C33" i="1"/>
  <c r="C73" i="1" s="1"/>
  <c r="B33" i="1"/>
  <c r="B73" i="1" s="1"/>
  <c r="B13" i="1" l="1"/>
  <c r="C13" i="1"/>
  <c r="C18" i="1" s="1"/>
  <c r="C20" i="1" s="1"/>
  <c r="C22" i="1" s="1"/>
  <c r="C76" i="1" s="1"/>
  <c r="C91" i="1" s="1"/>
  <c r="C109" i="1" s="1"/>
  <c r="B62" i="1"/>
  <c r="B69" i="1" s="1"/>
  <c r="B18" i="1"/>
  <c r="B20" i="1" s="1"/>
  <c r="B22" i="1" s="1"/>
  <c r="B76" i="1" s="1"/>
  <c r="B91" i="1" s="1"/>
  <c r="B109" i="1" s="1"/>
  <c r="C48" i="1"/>
  <c r="D62" i="1"/>
  <c r="D69" i="1" s="1"/>
  <c r="C69" i="1"/>
  <c r="D48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A33" i="3"/>
  <c r="A39" i="3" l="1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</calcChain>
</file>

<file path=xl/sharedStrings.xml><?xml version="1.0" encoding="utf-8"?>
<sst xmlns="http://schemas.openxmlformats.org/spreadsheetml/2006/main" count="182" uniqueCount="156">
  <si>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</si>
  <si>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</si>
  <si>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</si>
  <si>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</si>
  <si>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</si>
  <si>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</si>
  <si>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</si>
  <si>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</si>
  <si>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</si>
  <si>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</si>
  <si>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</si>
  <si>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</si>
  <si>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</si>
  <si>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</si>
  <si>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</si>
  <si>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</si>
  <si>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</si>
  <si>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</si>
  <si>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</si>
  <si>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</si>
  <si>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</si>
  <si>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</si>
  <si>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</si>
  <si>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</si>
  <si>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</si>
  <si>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</si>
  <si>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</si>
  <si>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</si>
  <si>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</si>
  <si>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</si>
  <si>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</si>
  <si>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</si>
  <si>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</si>
  <si>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</si>
  <si>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</si>
  <si>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</si>
  <si>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</si>
  <si>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</si>
  <si>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</si>
  <si>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</si>
  <si>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</si>
  <si>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</si>
  <si>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</si>
  <si>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</si>
  <si>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</si>
  <si>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</si>
  <si>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</si>
  <si>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</si>
  <si>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</si>
  <si>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</si>
  <si>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</si>
  <si>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</si>
  <si>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</si>
  <si>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</si>
  <si>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</si>
  <si>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</si>
  <si>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</si>
  <si>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</si>
  <si>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</si>
  <si>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</si>
  <si>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</si>
  <si>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</si>
  <si>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</si>
  <si>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</si>
  <si>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</si>
  <si>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</si>
  <si>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</si>
  <si>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</si>
  <si>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</si>
  <si>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</si>
  <si>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</si>
  <si>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</si>
  <si>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</si>
  <si>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</si>
  <si>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</si>
  <si>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</si>
  <si>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</si>
  <si>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</si>
  <si>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</si>
  <si>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</si>
  <si>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</si>
  <si>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</si>
  <si>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</si>
  <si>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</si>
  <si>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</si>
  <si>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</si>
  <si>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</si>
  <si>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</si>
  <si>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</si>
  <si>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</si>
  <si>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</si>
  <si>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</si>
  <si>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</si>
  <si>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</si>
  <si>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</si>
  <si>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</si>
  <si>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</si>
  <si>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</si>
  <si>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</si>
  <si>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</si>
  <si>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</si>
  <si>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</si>
  <si>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</si>
  <si>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</si>
  <si>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</si>
  <si>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</si>
  <si>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</si>
  <si>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</si>
  <si>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</si>
  <si>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</si>
  <si>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</si>
  <si>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</si>
  <si>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</si>
  <si>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</si>
  <si>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</si>
  <si>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</si>
  <si>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</si>
  <si>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</si>
  <si>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</si>
  <si>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</si>
  <si>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</si>
  <si>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</si>
  <si>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</si>
  <si>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</si>
  <si>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</si>
  <si>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</si>
  <si>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</si>
  <si>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</si>
  <si>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</si>
  <si>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</si>
  <si>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</si>
  <si>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</si>
  <si>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</si>
  <si>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</si>
  <si>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</si>
  <si>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</si>
  <si>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</si>
  <si>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</si>
  <si>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</si>
  <si>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</si>
  <si>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</si>
  <si>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</si>
  <si>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</si>
  <si>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</si>
  <si>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</si>
  <si>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</si>
  <si>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</si>
  <si>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</si>
  <si>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</si>
  <si>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</si>
  <si>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From 2022 10-K</t>
  </si>
  <si>
    <t>Interest expense</t>
  </si>
  <si>
    <t>Price</t>
  </si>
  <si>
    <t>Growth Rates:</t>
  </si>
  <si>
    <t>As a % of net sales:</t>
  </si>
  <si>
    <t>See "Financial Statements" tab.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</si>
</sst>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4" fontId="0" fillId="0" borderId="0" xfId="1" applyNumberFormat="1" applyFont="1"/>
    <xf numFmtId="164" fontId="2" fillId="0" borderId="1" xfId="1" applyNumberFormat="1" applyFont="1" applyBorder="1"/>
    <xf numFmtId="164" fontId="2" fillId="0" borderId="2" xfId="1" applyNumberFormat="1" applyFont="1" applyBorder="1"/>
    <xf numFmtId="164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5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4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43" fontId="0" fillId="0" borderId="0" xfId="1" applyFont="1"/>
    <xf numFmtId="43" fontId="0" fillId="0" borderId="0" xfId="0" applyNumberFormat="1"/>
    <xf numFmtId="10" fontId="0" fillId="0" borderId="0" xfId="3" applyNumberFormat="1" applyFont="1"/>
    <xf numFmtId="0" fontId="2" fillId="0" borderId="4" xfId="0" applyFont="1" applyBorder="1"/>
    <xf numFmtId="0" fontId="0" fillId="0" borderId="5" xfId="0" applyBorder="1"/>
    <xf numFmtId="0" fontId="2" fillId="0" borderId="6" xfId="0" applyFont="1" applyBorder="1"/>
    <xf numFmtId="0" fontId="2" fillId="0" borderId="7" xfId="0" applyFont="1" applyBorder="1"/>
    <xf numFmtId="10" fontId="0" fillId="0" borderId="6" xfId="3" applyNumberFormat="1" applyFont="1" applyBorder="1"/>
    <xf numFmtId="10" fontId="0" fillId="0" borderId="7" xfId="3" applyNumberFormat="1" applyFont="1" applyBorder="1"/>
    <xf numFmtId="0" fontId="0" fillId="0" borderId="6" xfId="0" applyBorder="1"/>
    <xf numFmtId="0" fontId="0" fillId="0" borderId="7" xfId="0" applyBorder="1"/>
    <xf numFmtId="10" fontId="0" fillId="0" borderId="8" xfId="3" applyNumberFormat="1" applyFont="1" applyBorder="1"/>
    <xf numFmtId="10" fontId="0" fillId="0" borderId="9" xfId="3" applyNumberFormat="1" applyFont="1" applyBorder="1"/>
    <xf numFmtId="0" fontId="0" fillId="0" borderId="10" xfId="0" applyBorder="1"/>
    <xf numFmtId="0" fontId="2" fillId="0" borderId="0" xfId="0" applyFont="1" applyBorder="1"/>
    <xf numFmtId="0" fontId="0" fillId="0" borderId="0" xfId="0" applyBorder="1"/>
    <xf numFmtId="10" fontId="0" fillId="0" borderId="0" xfId="3" applyNumberFormat="1" applyFont="1" applyBorder="1"/>
    <xf numFmtId="10" fontId="0" fillId="0" borderId="11" xfId="3" applyNumberFormat="1" applyFont="1" applyBorder="1"/>
    <xf numFmtId="0" fontId="0" fillId="0" borderId="8" xfId="0" applyBorder="1"/>
    <xf numFmtId="164" fontId="0" fillId="0" borderId="11" xfId="1" applyNumberFormat="1" applyFont="1" applyBorder="1"/>
    <xf numFmtId="164" fontId="0" fillId="0" borderId="9" xfId="1" applyNumberFormat="1" applyFont="1" applyBorder="1"/>
    <xf numFmtId="0" fontId="0" fillId="0" borderId="4" xfId="0" applyBorder="1"/>
    <xf numFmtId="0" fontId="2" fillId="0" borderId="10" xfId="0" applyFont="1" applyBorder="1"/>
    <xf numFmtId="0" fontId="2" fillId="0" borderId="5" xfId="0" applyFont="1" applyBorder="1"/>
    <xf numFmtId="0" fontId="2" fillId="0" borderId="8" xfId="0" applyFont="1" applyBorder="1"/>
    <xf numFmtId="14" fontId="0" fillId="0" borderId="6" xfId="0" applyNumberFormat="1" applyBorder="1"/>
    <xf numFmtId="14" fontId="0" fillId="0" borderId="0" xfId="0" applyNumberFormat="1" applyBorder="1"/>
    <xf numFmtId="14" fontId="0" fillId="0" borderId="7" xfId="0" applyNumberFormat="1" applyBorder="1"/>
    <xf numFmtId="0" fontId="0" fillId="0" borderId="11" xfId="0" applyBorder="1"/>
    <xf numFmtId="0" fontId="0" fillId="0" borderId="9" xfId="0" applyBorder="1"/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9"/>
  <sheetViews>
    <sheetView zoomScale="130" zoomScaleNormal="130" workbookViewId="0">
      <selection activeCell="C8" sqref="C8:D24"/>
    </sheetView>
  </sheetViews>
  <sheetFormatPr baseColWidth="10" defaultColWidth="8.83203125" defaultRowHeight="15" x14ac:dyDescent="0.2"/>
  <cols>
    <col min="1" max="1" width="104.5" customWidth="1"/>
  </cols>
  <sheetData>
    <row r="1" spans="1:4" ht="24" x14ac:dyDescent="0.3">
      <c r="A1" s="5" t="s">
        <v>87</v>
      </c>
    </row>
    <row r="3" spans="1:4" x14ac:dyDescent="0.2">
      <c r="A3" s="7" t="s">
        <v>141</v>
      </c>
    </row>
    <row r="4" spans="1:4" x14ac:dyDescent="0.2">
      <c r="A4" s="16" t="s">
        <v>88</v>
      </c>
    </row>
    <row r="5" spans="1:4" x14ac:dyDescent="0.2">
      <c r="A5" s="7" t="s">
        <v>97</v>
      </c>
    </row>
    <row r="6" spans="1:4" x14ac:dyDescent="0.2">
      <c r="A6" s="1" t="s">
        <v>148</v>
      </c>
    </row>
    <row r="7" spans="1:4" ht="16" thickBot="1" x14ac:dyDescent="0.25">
      <c r="A7" s="1"/>
    </row>
    <row r="8" spans="1:4" x14ac:dyDescent="0.2">
      <c r="A8" s="17" t="s">
        <v>149</v>
      </c>
      <c r="C8" s="55" t="s">
        <v>155</v>
      </c>
      <c r="D8" s="56"/>
    </row>
    <row r="9" spans="1:4" x14ac:dyDescent="0.2">
      <c r="A9" s="1" t="s">
        <v>145</v>
      </c>
      <c r="C9" s="57"/>
      <c r="D9" s="58"/>
    </row>
    <row r="10" spans="1:4" x14ac:dyDescent="0.2">
      <c r="A10" s="1" t="s">
        <v>89</v>
      </c>
      <c r="C10" s="57"/>
      <c r="D10" s="58"/>
    </row>
    <row r="11" spans="1:4" x14ac:dyDescent="0.2">
      <c r="A11" s="1" t="s">
        <v>90</v>
      </c>
      <c r="C11" s="57"/>
      <c r="D11" s="58"/>
    </row>
    <row r="12" spans="1:4" x14ac:dyDescent="0.2">
      <c r="A12" s="1" t="s">
        <v>91</v>
      </c>
      <c r="C12" s="57"/>
      <c r="D12" s="58"/>
    </row>
    <row r="13" spans="1:4" x14ac:dyDescent="0.2">
      <c r="A13" s="1"/>
      <c r="C13" s="57"/>
      <c r="D13" s="58"/>
    </row>
    <row r="14" spans="1:4" x14ac:dyDescent="0.2">
      <c r="A14" s="17" t="s">
        <v>92</v>
      </c>
      <c r="C14" s="57"/>
      <c r="D14" s="58"/>
    </row>
    <row r="15" spans="1:4" x14ac:dyDescent="0.2">
      <c r="A15" s="1" t="s">
        <v>146</v>
      </c>
      <c r="C15" s="57"/>
      <c r="D15" s="58"/>
    </row>
    <row r="16" spans="1:4" x14ac:dyDescent="0.2">
      <c r="A16" s="1" t="s">
        <v>89</v>
      </c>
      <c r="C16" s="57"/>
      <c r="D16" s="58"/>
    </row>
    <row r="17" spans="1:5" x14ac:dyDescent="0.2">
      <c r="A17" s="1" t="s">
        <v>90</v>
      </c>
      <c r="C17" s="57"/>
      <c r="D17" s="58"/>
    </row>
    <row r="18" spans="1:5" x14ac:dyDescent="0.2">
      <c r="A18" s="1" t="s">
        <v>14</v>
      </c>
      <c r="C18" s="57"/>
      <c r="D18" s="58"/>
    </row>
    <row r="19" spans="1:5" x14ac:dyDescent="0.2">
      <c r="A19" s="1" t="s">
        <v>93</v>
      </c>
      <c r="C19" s="57"/>
      <c r="D19" s="58"/>
    </row>
    <row r="20" spans="1:5" x14ac:dyDescent="0.2">
      <c r="A20" s="1"/>
      <c r="C20" s="57"/>
      <c r="D20" s="58"/>
    </row>
    <row r="21" spans="1:5" x14ac:dyDescent="0.2">
      <c r="A21" s="17" t="s">
        <v>98</v>
      </c>
      <c r="C21" s="57"/>
      <c r="D21" s="58"/>
    </row>
    <row r="22" spans="1:5" x14ac:dyDescent="0.2">
      <c r="A22" s="1" t="s">
        <v>94</v>
      </c>
      <c r="C22" s="57"/>
      <c r="D22" s="58"/>
    </row>
    <row r="23" spans="1:5" x14ac:dyDescent="0.2">
      <c r="A23" s="1" t="s">
        <v>95</v>
      </c>
      <c r="C23" s="57"/>
      <c r="D23" s="58"/>
    </row>
    <row r="24" spans="1:5" ht="16" thickBot="1" x14ac:dyDescent="0.25">
      <c r="A24" s="1" t="s">
        <v>96</v>
      </c>
      <c r="C24" s="59"/>
      <c r="D24" s="60"/>
    </row>
    <row r="25" spans="1:5" x14ac:dyDescent="0.2">
      <c r="A25" s="1"/>
      <c r="C25" s="28" t="s">
        <v>152</v>
      </c>
      <c r="D25" s="38"/>
      <c r="E25" s="29"/>
    </row>
    <row r="26" spans="1:5" x14ac:dyDescent="0.2">
      <c r="A26" s="17" t="s">
        <v>144</v>
      </c>
      <c r="C26" s="50">
        <v>44828</v>
      </c>
      <c r="D26" s="51">
        <v>44464</v>
      </c>
      <c r="E26" s="52">
        <v>44100</v>
      </c>
    </row>
    <row r="27" spans="1:5" ht="16" thickBot="1" x14ac:dyDescent="0.25">
      <c r="A27" s="16" t="s">
        <v>143</v>
      </c>
      <c r="C27" s="43">
        <v>150.43</v>
      </c>
      <c r="D27" s="53">
        <v>146.91999999999999</v>
      </c>
      <c r="E27" s="54">
        <v>112.28</v>
      </c>
    </row>
    <row r="29" spans="1:5" x14ac:dyDescent="0.2">
      <c r="A29" s="7" t="s">
        <v>147</v>
      </c>
    </row>
  </sheetData>
  <mergeCells count="1">
    <mergeCell ref="C8:D24"/>
  </mergeCells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14"/>
  <sheetViews>
    <sheetView workbookViewId="0">
      <selection activeCell="F4" sqref="F4"/>
    </sheetView>
  </sheetViews>
  <sheetFormatPr baseColWidth="10" defaultColWidth="8.83203125" defaultRowHeight="15" x14ac:dyDescent="0.2"/>
  <cols>
    <col min="1" max="1" width="59" customWidth="1"/>
    <col min="2" max="3" width="11.5" bestFit="1" customWidth="1"/>
    <col min="4" max="4" width="11.6640625" bestFit="1" customWidth="1"/>
    <col min="8" max="10" width="9.6640625" bestFit="1" customWidth="1"/>
  </cols>
  <sheetData>
    <row r="1" spans="1:17" ht="60" customHeight="1" x14ac:dyDescent="0.2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7" x14ac:dyDescent="0.2">
      <c r="A2" s="24" t="s">
        <v>1</v>
      </c>
      <c r="B2" s="24"/>
      <c r="C2" s="24"/>
      <c r="D2" s="24"/>
    </row>
    <row r="3" spans="1:17" ht="16" thickBot="1" x14ac:dyDescent="0.25">
      <c r="B3" s="23" t="s">
        <v>23</v>
      </c>
      <c r="C3" s="23"/>
      <c r="D3" s="23"/>
    </row>
    <row r="4" spans="1:17" x14ac:dyDescent="0.2">
      <c r="B4" s="7">
        <v>2022</v>
      </c>
      <c r="C4" s="7">
        <v>2021</v>
      </c>
      <c r="D4" s="7">
        <v>2020</v>
      </c>
      <c r="F4" s="28" t="s">
        <v>153</v>
      </c>
      <c r="G4" s="29"/>
      <c r="J4" s="28" t="s">
        <v>154</v>
      </c>
      <c r="K4" s="38"/>
      <c r="L4" s="29"/>
    </row>
    <row r="5" spans="1:17" x14ac:dyDescent="0.2">
      <c r="A5" t="s">
        <v>3</v>
      </c>
      <c r="F5" s="30">
        <v>2022</v>
      </c>
      <c r="G5" s="31">
        <v>2021</v>
      </c>
      <c r="J5" s="30">
        <v>2022</v>
      </c>
      <c r="K5" s="39">
        <v>2021</v>
      </c>
      <c r="L5" s="31">
        <v>2020</v>
      </c>
    </row>
    <row r="6" spans="1:17" x14ac:dyDescent="0.2">
      <c r="A6" s="1" t="s">
        <v>4</v>
      </c>
      <c r="B6" s="12">
        <v>316199</v>
      </c>
      <c r="C6" s="12">
        <v>297392</v>
      </c>
      <c r="D6" s="12">
        <v>220747</v>
      </c>
      <c r="F6" s="32">
        <f>B6/C6-1</f>
        <v>6.3239764351428418E-2</v>
      </c>
      <c r="G6" s="33">
        <f>C6/D6-1</f>
        <v>0.34720743656765429</v>
      </c>
      <c r="J6" s="34"/>
      <c r="K6" s="40"/>
      <c r="L6" s="35"/>
    </row>
    <row r="7" spans="1:17" x14ac:dyDescent="0.2">
      <c r="A7" s="1" t="s">
        <v>5</v>
      </c>
      <c r="B7" s="12">
        <v>78129</v>
      </c>
      <c r="C7" s="12">
        <v>68425</v>
      </c>
      <c r="D7" s="12">
        <v>53768</v>
      </c>
      <c r="F7" s="32">
        <f t="shared" ref="F7:F8" si="0">B7/C7-1</f>
        <v>0.14181951041286078</v>
      </c>
      <c r="G7" s="33">
        <f t="shared" ref="G7:G8" si="1">C7/D7-1</f>
        <v>0.27259708376729663</v>
      </c>
      <c r="J7" s="34"/>
      <c r="K7" s="40"/>
      <c r="L7" s="35"/>
    </row>
    <row r="8" spans="1:17" x14ac:dyDescent="0.2">
      <c r="A8" s="8" t="s">
        <v>6</v>
      </c>
      <c r="B8" s="13">
        <f>+B6+B7</f>
        <v>394328</v>
      </c>
      <c r="C8" s="13">
        <f t="shared" ref="C8:D8" si="2">+C6+C7</f>
        <v>365817</v>
      </c>
      <c r="D8" s="13">
        <f t="shared" si="2"/>
        <v>274515</v>
      </c>
      <c r="F8" s="32">
        <f>B8/C8-1</f>
        <v>7.7937876041846099E-2</v>
      </c>
      <c r="G8" s="33">
        <f>C8/D8-1</f>
        <v>0.33259384733074704</v>
      </c>
      <c r="J8" s="34"/>
      <c r="K8" s="40"/>
      <c r="L8" s="35"/>
    </row>
    <row r="9" spans="1:17" x14ac:dyDescent="0.2">
      <c r="A9" t="s">
        <v>7</v>
      </c>
      <c r="B9" s="12"/>
      <c r="C9" s="12"/>
      <c r="D9" s="12"/>
      <c r="F9" s="34"/>
      <c r="G9" s="35"/>
      <c r="J9" s="34"/>
      <c r="K9" s="40"/>
      <c r="L9" s="35"/>
    </row>
    <row r="10" spans="1:17" x14ac:dyDescent="0.2">
      <c r="A10" s="1" t="s">
        <v>4</v>
      </c>
      <c r="B10" s="12">
        <v>201471</v>
      </c>
      <c r="C10" s="12">
        <v>192266</v>
      </c>
      <c r="D10" s="12">
        <v>151286</v>
      </c>
      <c r="F10" s="34"/>
      <c r="G10" s="35"/>
      <c r="J10" s="34"/>
      <c r="K10" s="40"/>
      <c r="L10" s="35"/>
    </row>
    <row r="11" spans="1:17" x14ac:dyDescent="0.2">
      <c r="A11" s="1" t="s">
        <v>5</v>
      </c>
      <c r="B11" s="12">
        <v>22075</v>
      </c>
      <c r="C11" s="12">
        <v>20715</v>
      </c>
      <c r="D11" s="12">
        <v>18273</v>
      </c>
      <c r="F11" s="34"/>
      <c r="G11" s="35"/>
      <c r="J11" s="34"/>
      <c r="K11" s="40"/>
      <c r="L11" s="35"/>
    </row>
    <row r="12" spans="1:17" x14ac:dyDescent="0.2">
      <c r="A12" s="8" t="s">
        <v>8</v>
      </c>
      <c r="B12" s="13">
        <f>+B10+B11</f>
        <v>223546</v>
      </c>
      <c r="C12" s="13">
        <f t="shared" ref="C12:D12" si="3">+C10+C11</f>
        <v>212981</v>
      </c>
      <c r="D12" s="13">
        <f t="shared" si="3"/>
        <v>169559</v>
      </c>
      <c r="F12" s="34"/>
      <c r="G12" s="35"/>
      <c r="J12" s="32">
        <f>B12/B$8</f>
        <v>0.56690369438639909</v>
      </c>
      <c r="K12" s="41">
        <f t="shared" ref="K12:L13" si="4">C12/C$8</f>
        <v>0.58220640374832222</v>
      </c>
      <c r="L12" s="33">
        <f t="shared" si="4"/>
        <v>0.61766752272189129</v>
      </c>
    </row>
    <row r="13" spans="1:17" x14ac:dyDescent="0.2">
      <c r="A13" s="8" t="s">
        <v>9</v>
      </c>
      <c r="B13" s="13">
        <f>+B8-B12</f>
        <v>170782</v>
      </c>
      <c r="C13" s="13">
        <f t="shared" ref="C13:D13" si="5">+C8-C12</f>
        <v>152836</v>
      </c>
      <c r="D13" s="13">
        <f t="shared" si="5"/>
        <v>104956</v>
      </c>
      <c r="F13" s="32">
        <f>B13/C13-1</f>
        <v>0.1174199795859614</v>
      </c>
      <c r="G13" s="33">
        <f>C13/D13-1</f>
        <v>0.45619116582186825</v>
      </c>
      <c r="J13" s="32">
        <f>B13/B$8</f>
        <v>0.43309630561360085</v>
      </c>
      <c r="K13" s="41">
        <f t="shared" si="4"/>
        <v>0.41779359625167778</v>
      </c>
      <c r="L13" s="33">
        <f t="shared" si="4"/>
        <v>0.38233247727810865</v>
      </c>
    </row>
    <row r="14" spans="1:17" x14ac:dyDescent="0.2">
      <c r="A14" t="s">
        <v>10</v>
      </c>
      <c r="B14" s="12"/>
      <c r="C14" s="12"/>
      <c r="D14" s="12"/>
      <c r="F14" s="34"/>
      <c r="G14" s="35"/>
      <c r="J14" s="34"/>
      <c r="K14" s="40"/>
      <c r="L14" s="35"/>
    </row>
    <row r="15" spans="1:17" ht="16" thickBot="1" x14ac:dyDescent="0.25">
      <c r="A15" s="1" t="s">
        <v>11</v>
      </c>
      <c r="B15" s="12">
        <v>26251</v>
      </c>
      <c r="C15" s="12">
        <v>21914</v>
      </c>
      <c r="D15" s="12">
        <v>18752</v>
      </c>
      <c r="F15" s="32">
        <f t="shared" ref="F15:F16" si="6">B15/C15-1</f>
        <v>0.19791001186456136</v>
      </c>
      <c r="G15" s="33">
        <f t="shared" ref="G15:G16" si="7">C15/D15-1</f>
        <v>0.16862201365187723</v>
      </c>
      <c r="J15" s="32">
        <f t="shared" ref="J15:J16" si="8">B15/B$8</f>
        <v>6.657148363798665E-2</v>
      </c>
      <c r="K15" s="41">
        <f t="shared" ref="K15:K16" si="9">C15/C$8</f>
        <v>5.9904269074427925E-2</v>
      </c>
      <c r="L15" s="33">
        <f t="shared" ref="L15:L16" si="10">D15/D$8</f>
        <v>6.8309564140393061E-2</v>
      </c>
    </row>
    <row r="16" spans="1:17" x14ac:dyDescent="0.2">
      <c r="A16" s="1" t="s">
        <v>12</v>
      </c>
      <c r="B16" s="12">
        <v>25094</v>
      </c>
      <c r="C16" s="12">
        <v>21973</v>
      </c>
      <c r="D16" s="12">
        <v>19916</v>
      </c>
      <c r="F16" s="32">
        <f t="shared" si="6"/>
        <v>0.14203795567287125</v>
      </c>
      <c r="G16" s="33">
        <f t="shared" si="7"/>
        <v>0.10328379192608961</v>
      </c>
      <c r="J16" s="32">
        <f t="shared" si="8"/>
        <v>6.3637378020328261E-2</v>
      </c>
      <c r="K16" s="41">
        <f t="shared" si="9"/>
        <v>6.006555190163388E-2</v>
      </c>
      <c r="L16" s="33">
        <f t="shared" si="10"/>
        <v>7.2549769593646979E-2</v>
      </c>
      <c r="N16" s="28" t="s">
        <v>150</v>
      </c>
      <c r="O16" s="38"/>
      <c r="P16" s="38"/>
      <c r="Q16" s="29"/>
    </row>
    <row r="17" spans="1:17" x14ac:dyDescent="0.2">
      <c r="A17" s="8" t="s">
        <v>13</v>
      </c>
      <c r="B17" s="13">
        <f>+B15+B16</f>
        <v>51345</v>
      </c>
      <c r="C17" s="13">
        <f t="shared" ref="C17" si="11">+C15+C16</f>
        <v>43887</v>
      </c>
      <c r="D17" s="13">
        <f t="shared" ref="D17" si="12">+D15+D16</f>
        <v>38668</v>
      </c>
      <c r="F17" s="34"/>
      <c r="G17" s="35"/>
      <c r="J17" s="34"/>
      <c r="K17" s="40"/>
      <c r="L17" s="35"/>
      <c r="N17" s="30"/>
      <c r="O17" s="39">
        <v>2022</v>
      </c>
      <c r="P17" s="39">
        <v>2021</v>
      </c>
      <c r="Q17" s="31">
        <v>2020</v>
      </c>
    </row>
    <row r="18" spans="1:17" s="7" customFormat="1" ht="16" thickBot="1" x14ac:dyDescent="0.25">
      <c r="A18" s="8" t="s">
        <v>14</v>
      </c>
      <c r="B18" s="13">
        <f>+B13-B17</f>
        <v>119437</v>
      </c>
      <c r="C18" s="13">
        <f t="shared" ref="C18:D18" si="13">+C13-C17</f>
        <v>108949</v>
      </c>
      <c r="D18" s="13">
        <f t="shared" si="13"/>
        <v>66288</v>
      </c>
      <c r="F18" s="32">
        <f>B18/C18-1</f>
        <v>9.6265225013538513E-2</v>
      </c>
      <c r="G18" s="33">
        <f>C18/D18-1</f>
        <v>0.64357048032826447</v>
      </c>
      <c r="J18" s="32">
        <f t="shared" ref="J18:L18" si="14">B18/B$8</f>
        <v>0.30288744395528594</v>
      </c>
      <c r="K18" s="41">
        <f t="shared" si="14"/>
        <v>0.29782377527561593</v>
      </c>
      <c r="L18" s="33">
        <f t="shared" si="14"/>
        <v>0.24147314354406862</v>
      </c>
      <c r="N18" s="43" t="s">
        <v>151</v>
      </c>
      <c r="O18" s="44">
        <v>-2931</v>
      </c>
      <c r="P18" s="44">
        <v>-2645</v>
      </c>
      <c r="Q18" s="45">
        <v>-2873</v>
      </c>
    </row>
    <row r="19" spans="1:17" ht="16" thickBot="1" x14ac:dyDescent="0.25">
      <c r="A19" t="s">
        <v>15</v>
      </c>
      <c r="B19" s="12">
        <v>-334</v>
      </c>
      <c r="C19" s="12">
        <v>258</v>
      </c>
      <c r="D19" s="12">
        <v>803</v>
      </c>
      <c r="F19" s="34"/>
      <c r="G19" s="35"/>
      <c r="J19" s="34"/>
      <c r="K19" s="40"/>
      <c r="L19" s="35"/>
    </row>
    <row r="20" spans="1:17" x14ac:dyDescent="0.2">
      <c r="A20" s="8" t="s">
        <v>16</v>
      </c>
      <c r="B20" s="13">
        <f>+B18+B19</f>
        <v>119103</v>
      </c>
      <c r="C20" s="13">
        <f t="shared" ref="C20:D20" si="15">+C18+C19</f>
        <v>109207</v>
      </c>
      <c r="D20" s="13">
        <f t="shared" si="15"/>
        <v>67091</v>
      </c>
      <c r="F20" s="34"/>
      <c r="G20" s="35"/>
      <c r="J20" s="34"/>
      <c r="K20" s="40"/>
      <c r="L20" s="35"/>
      <c r="N20" s="28" t="s">
        <v>94</v>
      </c>
      <c r="O20" s="38"/>
      <c r="P20" s="29"/>
    </row>
    <row r="21" spans="1:17" x14ac:dyDescent="0.2">
      <c r="A21" t="s">
        <v>17</v>
      </c>
      <c r="B21" s="12">
        <v>19300</v>
      </c>
      <c r="C21" s="12">
        <v>14527</v>
      </c>
      <c r="D21" s="12">
        <v>9680</v>
      </c>
      <c r="F21" s="34"/>
      <c r="G21" s="35"/>
      <c r="J21" s="34"/>
      <c r="K21" s="40"/>
      <c r="L21" s="35"/>
      <c r="N21" s="30">
        <v>2022</v>
      </c>
      <c r="O21" s="39">
        <v>2021</v>
      </c>
      <c r="P21" s="31">
        <v>2020</v>
      </c>
    </row>
    <row r="22" spans="1:17" ht="16" thickBot="1" x14ac:dyDescent="0.25">
      <c r="A22" s="9" t="s">
        <v>18</v>
      </c>
      <c r="B22" s="14">
        <f>+B20-B21</f>
        <v>99803</v>
      </c>
      <c r="C22" s="14">
        <f t="shared" ref="C22:D22" si="16">+C20-C21</f>
        <v>94680</v>
      </c>
      <c r="D22" s="14">
        <f t="shared" si="16"/>
        <v>57411</v>
      </c>
      <c r="F22" s="36">
        <f>B22/C22-1</f>
        <v>5.410857625686516E-2</v>
      </c>
      <c r="G22" s="37">
        <f>C22/D22-1</f>
        <v>0.64916131055024295</v>
      </c>
      <c r="J22" s="36">
        <f>B22/B$8</f>
        <v>0.25309640705199732</v>
      </c>
      <c r="K22" s="42">
        <f t="shared" ref="J22:L22" si="17">C22/C$8</f>
        <v>0.25881793355694238</v>
      </c>
      <c r="L22" s="37">
        <f t="shared" si="17"/>
        <v>0.20913611278072236</v>
      </c>
      <c r="N22" s="36">
        <f>B21/B20</f>
        <v>0.16204461684424407</v>
      </c>
      <c r="O22" s="42">
        <f t="shared" ref="O22:P22" si="18">C21/C20</f>
        <v>0.13302260844085087</v>
      </c>
      <c r="P22" s="37">
        <f t="shared" si="18"/>
        <v>0.14428164731484103</v>
      </c>
    </row>
    <row r="23" spans="1:17" ht="16" thickTop="1" x14ac:dyDescent="0.2">
      <c r="A23" t="s">
        <v>19</v>
      </c>
    </row>
    <row r="24" spans="1:17" x14ac:dyDescent="0.2">
      <c r="A24" s="1" t="s">
        <v>20</v>
      </c>
      <c r="B24" s="10">
        <v>6.15</v>
      </c>
      <c r="C24" s="10">
        <v>5.67</v>
      </c>
      <c r="D24" s="10">
        <v>3.31</v>
      </c>
    </row>
    <row r="25" spans="1:17" x14ac:dyDescent="0.2">
      <c r="A25" s="1" t="s">
        <v>21</v>
      </c>
      <c r="B25" s="10">
        <v>6.11</v>
      </c>
      <c r="C25" s="10">
        <v>5.61</v>
      </c>
      <c r="D25" s="10">
        <v>3.28</v>
      </c>
    </row>
    <row r="26" spans="1:17" x14ac:dyDescent="0.2">
      <c r="A26" t="s">
        <v>22</v>
      </c>
    </row>
    <row r="27" spans="1:17" x14ac:dyDescent="0.2">
      <c r="A27" s="1" t="s">
        <v>20</v>
      </c>
      <c r="B27" s="2">
        <v>16215963</v>
      </c>
      <c r="C27" s="2">
        <v>16701272</v>
      </c>
      <c r="D27" s="2">
        <v>17352119</v>
      </c>
    </row>
    <row r="28" spans="1:17" x14ac:dyDescent="0.2">
      <c r="A28" s="1" t="s">
        <v>21</v>
      </c>
      <c r="B28" s="2">
        <v>16325819</v>
      </c>
      <c r="C28" s="2">
        <v>16864919</v>
      </c>
      <c r="D28" s="2">
        <v>17528214</v>
      </c>
    </row>
    <row r="31" spans="1:17" x14ac:dyDescent="0.2">
      <c r="A31" s="24" t="s">
        <v>24</v>
      </c>
      <c r="B31" s="24"/>
      <c r="C31" s="24"/>
      <c r="D31" s="24"/>
    </row>
    <row r="32" spans="1:17" x14ac:dyDescent="0.2">
      <c r="B32" s="23" t="s">
        <v>142</v>
      </c>
      <c r="C32" s="23"/>
      <c r="D32" s="23"/>
    </row>
    <row r="33" spans="1:4" x14ac:dyDescent="0.2">
      <c r="B33" s="7">
        <f>+B4</f>
        <v>2022</v>
      </c>
      <c r="C33" s="7">
        <f t="shared" ref="C33:D33" si="19">+C4</f>
        <v>2021</v>
      </c>
      <c r="D33" s="7">
        <f t="shared" si="19"/>
        <v>2020</v>
      </c>
    </row>
    <row r="35" spans="1:4" x14ac:dyDescent="0.2">
      <c r="A35" t="s">
        <v>25</v>
      </c>
    </row>
    <row r="36" spans="1:4" x14ac:dyDescent="0.2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2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2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2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2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2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2">
      <c r="A42" s="8" t="s">
        <v>31</v>
      </c>
      <c r="B42" s="13">
        <f>+SUM(B36:B41)</f>
        <v>135405</v>
      </c>
      <c r="C42" s="13">
        <f t="shared" ref="C42:D42" si="20">+SUM(C36:C41)</f>
        <v>134836</v>
      </c>
      <c r="D42" s="13">
        <f t="shared" si="20"/>
        <v>143713</v>
      </c>
    </row>
    <row r="43" spans="1:4" x14ac:dyDescent="0.2">
      <c r="A43" t="s">
        <v>48</v>
      </c>
      <c r="B43" s="12"/>
      <c r="C43" s="12"/>
      <c r="D43" s="12"/>
    </row>
    <row r="44" spans="1:4" x14ac:dyDescent="0.2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2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2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2">
      <c r="A47" s="8" t="s">
        <v>50</v>
      </c>
      <c r="B47" s="13">
        <f>+SUM(B44:B46)</f>
        <v>217350</v>
      </c>
      <c r="C47" s="13">
        <f t="shared" ref="C47:D47" si="21">+SUM(C44:C46)</f>
        <v>216166</v>
      </c>
      <c r="D47" s="13">
        <f t="shared" si="21"/>
        <v>180175</v>
      </c>
    </row>
    <row r="48" spans="1:4" ht="16" thickBot="1" x14ac:dyDescent="0.25">
      <c r="A48" s="9" t="s">
        <v>33</v>
      </c>
      <c r="B48" s="14">
        <f>+B42+B47</f>
        <v>352755</v>
      </c>
      <c r="C48" s="14">
        <f t="shared" ref="C48:D48" si="22">+C42+C47</f>
        <v>351002</v>
      </c>
      <c r="D48" s="14">
        <f t="shared" si="22"/>
        <v>323888</v>
      </c>
    </row>
    <row r="49" spans="1:4" ht="16" thickTop="1" x14ac:dyDescent="0.2"/>
    <row r="50" spans="1:4" x14ac:dyDescent="0.2">
      <c r="A50" t="s">
        <v>34</v>
      </c>
    </row>
    <row r="51" spans="1:4" x14ac:dyDescent="0.2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2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2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2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2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2">
      <c r="A56" s="8" t="s">
        <v>40</v>
      </c>
      <c r="B56" s="13">
        <f>+SUM(B51:B55)</f>
        <v>153982</v>
      </c>
      <c r="C56" s="13">
        <f t="shared" ref="C56:D56" si="23">+SUM(C51:C55)</f>
        <v>125481</v>
      </c>
      <c r="D56" s="13">
        <f t="shared" si="23"/>
        <v>105392</v>
      </c>
    </row>
    <row r="57" spans="1:4" x14ac:dyDescent="0.2">
      <c r="A57" t="s">
        <v>51</v>
      </c>
      <c r="B57" s="12"/>
      <c r="C57" s="12"/>
      <c r="D57" s="12"/>
    </row>
    <row r="58" spans="1:4" x14ac:dyDescent="0.2">
      <c r="A58" s="1" t="s">
        <v>37</v>
      </c>
      <c r="B58" s="12"/>
      <c r="C58" s="12"/>
      <c r="D58" s="12"/>
    </row>
    <row r="59" spans="1:4" x14ac:dyDescent="0.2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2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2">
      <c r="A61" s="22" t="s">
        <v>53</v>
      </c>
      <c r="B61" s="21">
        <f>+B59+B60</f>
        <v>148101</v>
      </c>
      <c r="C61" s="21">
        <f t="shared" ref="C61:D61" si="24">+C59+C60</f>
        <v>162431</v>
      </c>
      <c r="D61" s="21">
        <f t="shared" si="24"/>
        <v>153157</v>
      </c>
    </row>
    <row r="62" spans="1:4" x14ac:dyDescent="0.2">
      <c r="A62" s="8" t="s">
        <v>41</v>
      </c>
      <c r="B62" s="13">
        <f>+B56+B61</f>
        <v>302083</v>
      </c>
      <c r="C62" s="13">
        <f t="shared" ref="C62:D62" si="25">+C56+C61</f>
        <v>287912</v>
      </c>
      <c r="D62" s="13">
        <f t="shared" si="25"/>
        <v>258549</v>
      </c>
    </row>
    <row r="63" spans="1:4" x14ac:dyDescent="0.2">
      <c r="B63" s="12"/>
      <c r="C63" s="12"/>
      <c r="D63" s="12"/>
    </row>
    <row r="64" spans="1:4" x14ac:dyDescent="0.2">
      <c r="A64" t="s">
        <v>42</v>
      </c>
      <c r="B64" s="12"/>
      <c r="C64" s="12"/>
      <c r="D64" s="12"/>
    </row>
    <row r="65" spans="1:4" x14ac:dyDescent="0.2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2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2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2">
      <c r="A68" s="8" t="s">
        <v>45</v>
      </c>
      <c r="B68" s="13">
        <f>+SUM(B65:B67)</f>
        <v>50672</v>
      </c>
      <c r="C68" s="13">
        <f t="shared" ref="C68:D68" si="26">+SUM(C65:C67)</f>
        <v>63090</v>
      </c>
      <c r="D68" s="13">
        <f t="shared" si="26"/>
        <v>65339</v>
      </c>
    </row>
    <row r="69" spans="1:4" ht="16" thickBot="1" x14ac:dyDescent="0.25">
      <c r="A69" s="9" t="s">
        <v>46</v>
      </c>
      <c r="B69" s="14">
        <f>+B68+B62</f>
        <v>352755</v>
      </c>
      <c r="C69" s="14">
        <f t="shared" ref="C69:D69" si="27">+C68+C62</f>
        <v>351002</v>
      </c>
      <c r="D69" s="14">
        <f t="shared" si="27"/>
        <v>323888</v>
      </c>
    </row>
    <row r="70" spans="1:4" ht="16" thickTop="1" x14ac:dyDescent="0.2"/>
    <row r="71" spans="1:4" x14ac:dyDescent="0.2">
      <c r="A71" s="24" t="s">
        <v>55</v>
      </c>
      <c r="B71" s="24"/>
      <c r="C71" s="24"/>
      <c r="D71" s="24"/>
    </row>
    <row r="72" spans="1:4" x14ac:dyDescent="0.2">
      <c r="B72" s="23" t="s">
        <v>23</v>
      </c>
      <c r="C72" s="23"/>
      <c r="D72" s="23"/>
    </row>
    <row r="73" spans="1:4" x14ac:dyDescent="0.2">
      <c r="B73" s="7">
        <f>+B33</f>
        <v>2022</v>
      </c>
      <c r="C73" s="7">
        <f t="shared" ref="C73:D73" si="28">+C33</f>
        <v>2021</v>
      </c>
      <c r="D73" s="7">
        <f t="shared" si="28"/>
        <v>2020</v>
      </c>
    </row>
    <row r="75" spans="1:4" x14ac:dyDescent="0.2">
      <c r="A75" s="7" t="s">
        <v>56</v>
      </c>
      <c r="B75" s="15"/>
      <c r="C75" s="15"/>
      <c r="D75" s="15"/>
    </row>
    <row r="76" spans="1:4" x14ac:dyDescent="0.2">
      <c r="A76" t="s">
        <v>57</v>
      </c>
      <c r="B76" s="12">
        <f>+B22</f>
        <v>99803</v>
      </c>
      <c r="C76" s="12">
        <f t="shared" ref="C76:D76" si="29">+C22</f>
        <v>94680</v>
      </c>
      <c r="D76" s="12">
        <f t="shared" si="29"/>
        <v>57411</v>
      </c>
    </row>
    <row r="77" spans="1:4" x14ac:dyDescent="0.2">
      <c r="A77" s="11" t="s">
        <v>18</v>
      </c>
      <c r="B77" s="15"/>
      <c r="C77" s="15"/>
      <c r="D77" s="15"/>
    </row>
    <row r="78" spans="1:4" x14ac:dyDescent="0.2">
      <c r="A78" s="1" t="s">
        <v>58</v>
      </c>
      <c r="B78" s="12"/>
      <c r="C78" s="12"/>
      <c r="D78" s="12"/>
    </row>
    <row r="79" spans="1:4" x14ac:dyDescent="0.2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2">
      <c r="A80" s="3" t="s">
        <v>83</v>
      </c>
      <c r="B80" s="12">
        <v>9038</v>
      </c>
      <c r="C80" s="12">
        <v>7906</v>
      </c>
      <c r="D80" s="12">
        <v>6829</v>
      </c>
    </row>
    <row r="81" spans="1:9" x14ac:dyDescent="0.2">
      <c r="A81" s="3" t="s">
        <v>60</v>
      </c>
      <c r="B81" s="12">
        <v>895</v>
      </c>
      <c r="C81" s="12">
        <v>-4774</v>
      </c>
      <c r="D81" s="12">
        <v>-215</v>
      </c>
    </row>
    <row r="82" spans="1:9" x14ac:dyDescent="0.2">
      <c r="A82" s="3" t="s">
        <v>61</v>
      </c>
      <c r="B82" s="12">
        <v>111</v>
      </c>
      <c r="C82" s="12">
        <v>-147</v>
      </c>
      <c r="D82" s="12">
        <v>-97</v>
      </c>
    </row>
    <row r="83" spans="1:9" x14ac:dyDescent="0.2">
      <c r="A83" t="s">
        <v>62</v>
      </c>
      <c r="B83" s="12"/>
      <c r="C83" s="12"/>
      <c r="D83" s="12"/>
    </row>
    <row r="84" spans="1:9" x14ac:dyDescent="0.2">
      <c r="A84" s="1" t="s">
        <v>28</v>
      </c>
      <c r="B84" s="12">
        <v>-1823</v>
      </c>
      <c r="C84" s="12">
        <v>-10125</v>
      </c>
      <c r="D84" s="12">
        <v>6917</v>
      </c>
    </row>
    <row r="85" spans="1:9" x14ac:dyDescent="0.2">
      <c r="A85" s="1" t="s">
        <v>29</v>
      </c>
      <c r="B85" s="12">
        <v>1484</v>
      </c>
      <c r="C85" s="12">
        <v>-2642</v>
      </c>
      <c r="D85" s="12">
        <v>-127</v>
      </c>
    </row>
    <row r="86" spans="1:9" x14ac:dyDescent="0.2">
      <c r="A86" s="1" t="s">
        <v>47</v>
      </c>
      <c r="B86" s="12">
        <v>-7520</v>
      </c>
      <c r="C86" s="12">
        <v>-3903</v>
      </c>
      <c r="D86" s="12">
        <v>1553</v>
      </c>
    </row>
    <row r="87" spans="1:9" x14ac:dyDescent="0.2">
      <c r="A87" s="1" t="s">
        <v>84</v>
      </c>
      <c r="B87" s="12">
        <v>-6499</v>
      </c>
      <c r="C87" s="12">
        <v>-8042</v>
      </c>
      <c r="D87" s="12">
        <v>-9588</v>
      </c>
    </row>
    <row r="88" spans="1:9" x14ac:dyDescent="0.2">
      <c r="A88" s="1" t="s">
        <v>35</v>
      </c>
      <c r="B88" s="12">
        <v>9448</v>
      </c>
      <c r="C88" s="12">
        <v>12326</v>
      </c>
      <c r="D88" s="12">
        <v>-4062</v>
      </c>
    </row>
    <row r="89" spans="1:9" x14ac:dyDescent="0.2">
      <c r="A89" s="1" t="s">
        <v>37</v>
      </c>
      <c r="B89" s="12">
        <v>478</v>
      </c>
      <c r="C89" s="12">
        <v>1676</v>
      </c>
      <c r="D89" s="12">
        <v>2081</v>
      </c>
    </row>
    <row r="90" spans="1:9" x14ac:dyDescent="0.2">
      <c r="A90" s="1" t="s">
        <v>85</v>
      </c>
      <c r="B90" s="12">
        <v>5632</v>
      </c>
      <c r="C90" s="12">
        <v>5799</v>
      </c>
      <c r="D90" s="12">
        <v>8916</v>
      </c>
    </row>
    <row r="91" spans="1:9" x14ac:dyDescent="0.2">
      <c r="A91" s="8" t="s">
        <v>63</v>
      </c>
      <c r="B91" s="13">
        <f>+SUM(B76:B90)</f>
        <v>122151</v>
      </c>
      <c r="C91" s="13">
        <f t="shared" ref="C91:D91" si="30">+SUM(C76:C90)</f>
        <v>104038</v>
      </c>
      <c r="D91" s="13">
        <f t="shared" si="30"/>
        <v>80674</v>
      </c>
    </row>
    <row r="92" spans="1:9" x14ac:dyDescent="0.2">
      <c r="A92" s="7" t="s">
        <v>64</v>
      </c>
      <c r="B92" s="12"/>
      <c r="C92" s="12"/>
      <c r="D92" s="12"/>
    </row>
    <row r="93" spans="1:9" x14ac:dyDescent="0.2">
      <c r="A93" s="1" t="s">
        <v>65</v>
      </c>
      <c r="B93" s="12">
        <v>-76923</v>
      </c>
      <c r="C93" s="12">
        <v>-109558</v>
      </c>
      <c r="D93" s="12">
        <v>-114938</v>
      </c>
    </row>
    <row r="94" spans="1:9" ht="16" thickBot="1" x14ac:dyDescent="0.25">
      <c r="A94" s="1" t="s">
        <v>66</v>
      </c>
      <c r="B94" s="12">
        <v>29917</v>
      </c>
      <c r="C94" s="12">
        <v>59023</v>
      </c>
      <c r="D94" s="12">
        <v>69918</v>
      </c>
    </row>
    <row r="95" spans="1:9" x14ac:dyDescent="0.2">
      <c r="A95" s="1" t="s">
        <v>67</v>
      </c>
      <c r="B95" s="12">
        <v>37446</v>
      </c>
      <c r="C95" s="12">
        <v>47460</v>
      </c>
      <c r="D95" s="12">
        <v>50473</v>
      </c>
      <c r="F95" s="46"/>
      <c r="G95" s="47">
        <v>2022</v>
      </c>
      <c r="H95" s="47">
        <v>2021</v>
      </c>
      <c r="I95" s="48">
        <v>2020</v>
      </c>
    </row>
    <row r="96" spans="1:9" x14ac:dyDescent="0.2">
      <c r="A96" s="1" t="s">
        <v>68</v>
      </c>
      <c r="B96" s="12">
        <v>-10708</v>
      </c>
      <c r="C96" s="12">
        <v>-11085</v>
      </c>
      <c r="D96" s="12">
        <v>-7309</v>
      </c>
      <c r="F96" s="30" t="s">
        <v>95</v>
      </c>
      <c r="G96" s="41">
        <f>-B96/B8</f>
        <v>2.7155058732831552E-2</v>
      </c>
      <c r="H96" s="41">
        <f t="shared" ref="H96:I96" si="31">-C96/C8</f>
        <v>3.0302036264033657E-2</v>
      </c>
      <c r="I96" s="33">
        <f t="shared" si="31"/>
        <v>2.6625138881299748E-2</v>
      </c>
    </row>
    <row r="97" spans="1:9" ht="16" thickBot="1" x14ac:dyDescent="0.25">
      <c r="A97" s="1" t="s">
        <v>69</v>
      </c>
      <c r="B97" s="12">
        <v>-306</v>
      </c>
      <c r="C97" s="12">
        <v>-33</v>
      </c>
      <c r="D97" s="12">
        <v>-1524</v>
      </c>
      <c r="F97" s="49" t="s">
        <v>96</v>
      </c>
      <c r="G97" s="42">
        <f>-B96/B45</f>
        <v>0.25424412944891611</v>
      </c>
      <c r="H97" s="42">
        <f t="shared" ref="H97:I97" si="32">-C96/C45</f>
        <v>0.28105983772819471</v>
      </c>
      <c r="I97" s="37">
        <f t="shared" si="32"/>
        <v>0.19879780231735844</v>
      </c>
    </row>
    <row r="98" spans="1:9" x14ac:dyDescent="0.2">
      <c r="A98" s="1" t="s">
        <v>61</v>
      </c>
      <c r="B98" s="12">
        <v>-1780</v>
      </c>
      <c r="C98" s="12">
        <v>-352</v>
      </c>
      <c r="D98" s="12">
        <v>-909</v>
      </c>
    </row>
    <row r="99" spans="1:9" x14ac:dyDescent="0.2">
      <c r="A99" s="8" t="s">
        <v>70</v>
      </c>
      <c r="B99" s="13">
        <f>+SUM(B93:B98)</f>
        <v>-22354</v>
      </c>
      <c r="C99" s="13">
        <f t="shared" ref="C99:D99" si="33">+SUM(C93:C98)</f>
        <v>-14545</v>
      </c>
      <c r="D99" s="13">
        <f t="shared" si="33"/>
        <v>-4289</v>
      </c>
    </row>
    <row r="100" spans="1:9" x14ac:dyDescent="0.2">
      <c r="A100" s="7" t="s">
        <v>71</v>
      </c>
      <c r="B100" s="12"/>
      <c r="C100" s="12"/>
      <c r="D100" s="12"/>
    </row>
    <row r="101" spans="1:9" x14ac:dyDescent="0.2">
      <c r="A101" s="1" t="s">
        <v>86</v>
      </c>
      <c r="B101" s="12">
        <v>-6223</v>
      </c>
      <c r="C101" s="12">
        <v>-6556</v>
      </c>
      <c r="D101" s="12">
        <v>-3634</v>
      </c>
    </row>
    <row r="102" spans="1:9" x14ac:dyDescent="0.2">
      <c r="A102" s="1" t="s">
        <v>72</v>
      </c>
      <c r="B102" s="12">
        <v>-14841</v>
      </c>
      <c r="C102" s="12">
        <v>-14467</v>
      </c>
      <c r="D102" s="12">
        <v>-14081</v>
      </c>
    </row>
    <row r="103" spans="1:9" x14ac:dyDescent="0.2">
      <c r="A103" s="1" t="s">
        <v>73</v>
      </c>
      <c r="B103" s="12">
        <v>-89402</v>
      </c>
      <c r="C103" s="12">
        <v>-85971</v>
      </c>
      <c r="D103" s="12">
        <v>-72358</v>
      </c>
    </row>
    <row r="104" spans="1:9" x14ac:dyDescent="0.2">
      <c r="A104" s="1" t="s">
        <v>74</v>
      </c>
      <c r="B104" s="12">
        <v>5465</v>
      </c>
      <c r="C104" s="12">
        <v>20393</v>
      </c>
      <c r="D104" s="12">
        <v>16091</v>
      </c>
    </row>
    <row r="105" spans="1:9" x14ac:dyDescent="0.2">
      <c r="A105" s="1" t="s">
        <v>75</v>
      </c>
      <c r="B105" s="12">
        <v>-9543</v>
      </c>
      <c r="C105" s="12">
        <v>-8750</v>
      </c>
      <c r="D105" s="12">
        <v>-12629</v>
      </c>
    </row>
    <row r="106" spans="1:9" x14ac:dyDescent="0.2">
      <c r="A106" s="1" t="s">
        <v>76</v>
      </c>
      <c r="B106" s="12">
        <v>3955</v>
      </c>
      <c r="C106" s="12">
        <v>1022</v>
      </c>
      <c r="D106" s="12">
        <v>-963</v>
      </c>
    </row>
    <row r="107" spans="1:9" x14ac:dyDescent="0.2">
      <c r="A107" s="1" t="s">
        <v>61</v>
      </c>
      <c r="B107" s="12">
        <v>-160</v>
      </c>
      <c r="C107" s="12">
        <v>976</v>
      </c>
      <c r="D107" s="12">
        <v>754</v>
      </c>
    </row>
    <row r="108" spans="1:9" x14ac:dyDescent="0.2">
      <c r="A108" s="8" t="s">
        <v>77</v>
      </c>
      <c r="B108" s="13">
        <f>+SUM(B101:B107)</f>
        <v>-110749</v>
      </c>
      <c r="C108" s="13">
        <f t="shared" ref="C108:D108" si="34">+SUM(C101:C107)</f>
        <v>-93353</v>
      </c>
      <c r="D108" s="13">
        <f t="shared" si="34"/>
        <v>-86820</v>
      </c>
    </row>
    <row r="109" spans="1:9" x14ac:dyDescent="0.2">
      <c r="A109" s="8" t="s">
        <v>78</v>
      </c>
      <c r="B109" s="13">
        <f>+B91+B99+B108</f>
        <v>-10952</v>
      </c>
      <c r="C109" s="13">
        <f t="shared" ref="C109:D109" si="35">+C91+C99+C108</f>
        <v>-3860</v>
      </c>
      <c r="D109" s="13">
        <f t="shared" si="35"/>
        <v>-10435</v>
      </c>
    </row>
    <row r="110" spans="1:9" ht="16" thickBot="1" x14ac:dyDescent="0.25">
      <c r="A110" s="9" t="s">
        <v>79</v>
      </c>
      <c r="B110" s="14">
        <v>24977</v>
      </c>
      <c r="C110" s="14">
        <v>35929</v>
      </c>
      <c r="D110" s="14">
        <v>39789</v>
      </c>
    </row>
    <row r="111" spans="1:9" ht="16" thickTop="1" x14ac:dyDescent="0.2">
      <c r="B111" s="12"/>
      <c r="C111" s="12"/>
      <c r="D111" s="12"/>
    </row>
    <row r="112" spans="1:9" x14ac:dyDescent="0.2">
      <c r="A112" t="s">
        <v>80</v>
      </c>
      <c r="B112" s="12"/>
      <c r="C112" s="12"/>
      <c r="D112" s="12"/>
    </row>
    <row r="113" spans="1:4" x14ac:dyDescent="0.2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2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1"/>
  <sheetViews>
    <sheetView tabSelected="1" zoomScale="130" zoomScaleNormal="130" workbookViewId="0">
      <selection activeCell="B53" sqref="B53"/>
    </sheetView>
  </sheetViews>
  <sheetFormatPr baseColWidth="10" defaultColWidth="8.83203125" defaultRowHeight="15" x14ac:dyDescent="0.2"/>
  <cols>
    <col min="1" max="1" width="4.6640625" customWidth="1"/>
    <col min="2" max="2" width="44.83203125" customWidth="1"/>
    <col min="3" max="5" width="12.6640625" bestFit="1" customWidth="1"/>
  </cols>
  <sheetData>
    <row r="1" spans="1:10" ht="60" customHeight="1" x14ac:dyDescent="0.3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2">
      <c r="C2" s="23" t="s">
        <v>23</v>
      </c>
      <c r="D2" s="23"/>
      <c r="E2" s="23"/>
    </row>
    <row r="3" spans="1:10" x14ac:dyDescent="0.2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2">
      <c r="A4" s="18">
        <v>1</v>
      </c>
      <c r="B4" s="7" t="s">
        <v>99</v>
      </c>
    </row>
    <row r="5" spans="1:10" x14ac:dyDescent="0.2">
      <c r="A5" s="18">
        <f>+A4+0.1</f>
        <v>1.1000000000000001</v>
      </c>
      <c r="B5" s="1" t="s">
        <v>100</v>
      </c>
      <c r="C5">
        <f>'Financial Statements'!B42/'Financial Statements'!B56</f>
        <v>0.87935602862672257</v>
      </c>
      <c r="D5">
        <f>'Financial Statements'!C42/'Financial Statements'!C56</f>
        <v>1.0745531195957954</v>
      </c>
      <c r="E5">
        <f>'Financial Statements'!D42/'Financial Statements'!D56</f>
        <v>1.3636044481554577</v>
      </c>
    </row>
    <row r="6" spans="1:10" x14ac:dyDescent="0.2">
      <c r="A6" s="18">
        <f t="shared" ref="A6:A13" si="0">+A5+0.1</f>
        <v>1.2000000000000002</v>
      </c>
      <c r="B6" s="1" t="s">
        <v>101</v>
      </c>
      <c r="C6">
        <f>SUM('Financial Statements'!B36:B38)/'Financial Statements'!B56</f>
        <v>0.49673338442155579</v>
      </c>
      <c r="D6">
        <f>SUM('Financial Statements'!C36:C38)/'Financial Statements'!C56</f>
        <v>0.70860927152317876</v>
      </c>
      <c r="E6">
        <f>SUM('Financial Statements'!D36:D38)/'Financial Statements'!D56</f>
        <v>1.0158550933657204</v>
      </c>
    </row>
    <row r="7" spans="1:10" x14ac:dyDescent="0.2">
      <c r="A7" s="18">
        <f t="shared" si="0"/>
        <v>1.3000000000000003</v>
      </c>
      <c r="B7" s="1" t="s">
        <v>102</v>
      </c>
      <c r="C7">
        <f>'Financial Statements'!B36/'Financial Statements'!B56</f>
        <v>0.15356340351469652</v>
      </c>
      <c r="D7">
        <f>'Financial Statements'!C36/'Financial Statements'!C56</f>
        <v>0.27844853005634318</v>
      </c>
      <c r="E7">
        <f>'Financial Statements'!D36/'Financial Statements'!D56</f>
        <v>0.36071049035979963</v>
      </c>
    </row>
    <row r="8" spans="1:10" x14ac:dyDescent="0.2">
      <c r="A8" s="18">
        <f t="shared" si="0"/>
        <v>1.4000000000000004</v>
      </c>
      <c r="B8" s="1" t="s">
        <v>103</v>
      </c>
      <c r="C8">
        <f>SUM('Financial Statements'!B36:B38)/(('Financial Statements'!B17-'Financial Statements'!B79)/365)</f>
        <v>693.77301756914596</v>
      </c>
      <c r="D8">
        <f>SUM('Financial Statements'!C36:C38)/(('Financial Statements'!C17-'Financial Statements'!C79)/365)</f>
        <v>995.4514921939699</v>
      </c>
      <c r="E8">
        <f>SUM('Financial Statements'!D36:D38)/(('Financial Statements'!D17-'Financial Statements'!D79)/365)</f>
        <v>1415.254056207446</v>
      </c>
    </row>
    <row r="9" spans="1:10" x14ac:dyDescent="0.2">
      <c r="A9" s="18">
        <f t="shared" si="0"/>
        <v>1.5000000000000004</v>
      </c>
      <c r="B9" s="1" t="s">
        <v>104</v>
      </c>
      <c r="C9">
        <f>365*'Financial Statements'!B39/'Financial Statements'!B12</f>
        <v>8.0756980666171607</v>
      </c>
      <c r="D9">
        <f>365*'Financial Statements'!C39/'Financial Statements'!C12</f>
        <v>11.27659274770989</v>
      </c>
      <c r="E9">
        <f>365*'Financial Statements'!D39/'Financial Statements'!D12</f>
        <v>8.7418833562358831</v>
      </c>
    </row>
    <row r="10" spans="1:10" x14ac:dyDescent="0.2">
      <c r="A10" s="18">
        <f t="shared" si="0"/>
        <v>1.6000000000000005</v>
      </c>
      <c r="B10" s="1" t="s">
        <v>105</v>
      </c>
      <c r="C10">
        <f>365*'Financial Statements'!B51/'Financial Statements'!B12</f>
        <v>104.68527730310539</v>
      </c>
      <c r="D10">
        <f>365*'Financial Statements'!C51/'Financial Statements'!C12</f>
        <v>93.85107122231561</v>
      </c>
      <c r="E10">
        <f>365*'Financial Statements'!D51/'Financial Statements'!D12</f>
        <v>91.048189715674184</v>
      </c>
    </row>
    <row r="11" spans="1:10" x14ac:dyDescent="0.2">
      <c r="A11" s="18">
        <f t="shared" si="0"/>
        <v>1.7000000000000006</v>
      </c>
      <c r="B11" s="1" t="s">
        <v>106</v>
      </c>
      <c r="C11">
        <f>365*'Financial Statements'!B38/'Financial Statements'!B8</f>
        <v>26.087825363656652</v>
      </c>
      <c r="D11">
        <f>365*'Financial Statements'!C38/'Financial Statements'!C8</f>
        <v>26.219311841713207</v>
      </c>
      <c r="E11">
        <f>365*'Financial Statements'!D38/'Financial Statements'!D8</f>
        <v>21.433437152796749</v>
      </c>
    </row>
    <row r="12" spans="1:10" x14ac:dyDescent="0.2">
      <c r="A12" s="18">
        <f t="shared" si="0"/>
        <v>1.8000000000000007</v>
      </c>
      <c r="B12" s="1" t="s">
        <v>107</v>
      </c>
      <c r="C12">
        <f>C9+C11-C10</f>
        <v>-70.521753872831582</v>
      </c>
      <c r="D12">
        <f t="shared" ref="D12:E12" si="1">D9+D11-D10</f>
        <v>-56.355166632892512</v>
      </c>
      <c r="E12">
        <f t="shared" si="1"/>
        <v>-60.872869206641553</v>
      </c>
    </row>
    <row r="13" spans="1:10" x14ac:dyDescent="0.2">
      <c r="A13" s="18">
        <f t="shared" si="0"/>
        <v>1.9000000000000008</v>
      </c>
      <c r="B13" s="1" t="s">
        <v>108</v>
      </c>
      <c r="C13" s="27">
        <f>C14/'Financial Statements'!B8</f>
        <v>-4.711052727678481E-2</v>
      </c>
      <c r="D13" s="27">
        <f>D14/'Financial Statements'!C8</f>
        <v>2.557289573748623E-2</v>
      </c>
      <c r="E13" s="27">
        <f>E14/'Financial Statements'!D8</f>
        <v>0.13959528623208203</v>
      </c>
    </row>
    <row r="14" spans="1:10" x14ac:dyDescent="0.2">
      <c r="A14" s="18"/>
      <c r="B14" s="3" t="s">
        <v>109</v>
      </c>
      <c r="C14" s="12">
        <f>'Financial Statements'!B42-'Financial Statements'!B56</f>
        <v>-18577</v>
      </c>
      <c r="D14" s="12">
        <f>'Financial Statements'!C42-'Financial Statements'!C56</f>
        <v>9355</v>
      </c>
      <c r="E14" s="12">
        <f>'Financial Statements'!D42-'Financial Statements'!D56</f>
        <v>38321</v>
      </c>
    </row>
    <row r="15" spans="1:10" x14ac:dyDescent="0.2">
      <c r="A15" s="18"/>
    </row>
    <row r="16" spans="1:10" x14ac:dyDescent="0.2">
      <c r="A16" s="18">
        <f>+A4+1</f>
        <v>2</v>
      </c>
      <c r="B16" s="17" t="s">
        <v>110</v>
      </c>
    </row>
    <row r="17" spans="1:5" x14ac:dyDescent="0.2">
      <c r="A17" s="18">
        <f>+A16+0.1</f>
        <v>2.1</v>
      </c>
      <c r="B17" s="1" t="s">
        <v>9</v>
      </c>
      <c r="C17">
        <f>'Financial Statements'!B13/'Financial Statements'!B8</f>
        <v>0.43309630561360085</v>
      </c>
      <c r="D17">
        <f>'Financial Statements'!C13/'Financial Statements'!C8</f>
        <v>0.41779359625167778</v>
      </c>
      <c r="E17">
        <f>'Financial Statements'!D13/'Financial Statements'!D8</f>
        <v>0.38233247727810865</v>
      </c>
    </row>
    <row r="18" spans="1:5" x14ac:dyDescent="0.2">
      <c r="A18" s="18">
        <f>+A17+0.1</f>
        <v>2.2000000000000002</v>
      </c>
      <c r="B18" s="1" t="s">
        <v>111</v>
      </c>
      <c r="C18" s="26">
        <f>C19/'Financial Statements'!B8</f>
        <v>0.3310467428130896</v>
      </c>
      <c r="D18" s="26">
        <f>D19/'Financial Statements'!C8</f>
        <v>0.32866979938056462</v>
      </c>
      <c r="E18" s="26">
        <f>E19/'Financial Statements'!D8</f>
        <v>0.2817478097736007</v>
      </c>
    </row>
    <row r="19" spans="1:5" x14ac:dyDescent="0.2">
      <c r="A19" s="18"/>
      <c r="B19" s="3" t="s">
        <v>112</v>
      </c>
      <c r="C19" s="12">
        <f>'Financial Statements'!B18+'Financial Statements'!B79</f>
        <v>130541</v>
      </c>
      <c r="D19" s="12">
        <f>'Financial Statements'!C18+'Financial Statements'!C79</f>
        <v>120233</v>
      </c>
      <c r="E19" s="12">
        <f>'Financial Statements'!D18+'Financial Statements'!D79</f>
        <v>77344</v>
      </c>
    </row>
    <row r="20" spans="1:5" x14ac:dyDescent="0.2">
      <c r="A20" s="18">
        <f>+A18+0.1</f>
        <v>2.3000000000000003</v>
      </c>
      <c r="B20" s="1" t="s">
        <v>113</v>
      </c>
      <c r="C20" s="26">
        <f>C21/'Financial Statements'!B8</f>
        <v>0.30288744395528594</v>
      </c>
      <c r="D20" s="26">
        <f>D21/'Financial Statements'!C8</f>
        <v>0.29782377527561593</v>
      </c>
      <c r="E20" s="26">
        <f>E21/'Financial Statements'!D8</f>
        <v>0.24147314354406862</v>
      </c>
    </row>
    <row r="21" spans="1:5" x14ac:dyDescent="0.2">
      <c r="A21" s="18"/>
      <c r="B21" s="3" t="s">
        <v>114</v>
      </c>
      <c r="C21" s="12">
        <f>'Financial Statements'!B18</f>
        <v>119437</v>
      </c>
      <c r="D21" s="12">
        <f>'Financial Statements'!C18</f>
        <v>108949</v>
      </c>
      <c r="E21" s="12">
        <f>'Financial Statements'!D18</f>
        <v>66288</v>
      </c>
    </row>
    <row r="22" spans="1:5" x14ac:dyDescent="0.2">
      <c r="A22" s="18">
        <f>+A20+0.1</f>
        <v>2.4000000000000004</v>
      </c>
      <c r="B22" s="1" t="s">
        <v>115</v>
      </c>
      <c r="C22">
        <f>'Financial Statements'!B22/'Financial Statements'!B8</f>
        <v>0.25309640705199732</v>
      </c>
      <c r="D22">
        <f>'Financial Statements'!C22/'Financial Statements'!C8</f>
        <v>0.25881793355694238</v>
      </c>
      <c r="E22">
        <f>'Financial Statements'!D22/'Financial Statements'!D8</f>
        <v>0.20913611278072236</v>
      </c>
    </row>
    <row r="23" spans="1:5" x14ac:dyDescent="0.2">
      <c r="A23" s="18"/>
    </row>
    <row r="24" spans="1:5" x14ac:dyDescent="0.2">
      <c r="A24" s="18">
        <f>+A16+1</f>
        <v>3</v>
      </c>
      <c r="B24" s="7" t="s">
        <v>116</v>
      </c>
    </row>
    <row r="25" spans="1:5" x14ac:dyDescent="0.2">
      <c r="A25" s="18">
        <f>+A24+0.1</f>
        <v>3.1</v>
      </c>
      <c r="B25" s="1" t="s">
        <v>117</v>
      </c>
      <c r="C25">
        <f>'Financial Statements'!B62/'Financial Statements'!B68</f>
        <v>5.9615369434796337</v>
      </c>
      <c r="D25">
        <f>'Financial Statements'!C62/'Financial Statements'!C68</f>
        <v>4.5635124425423994</v>
      </c>
      <c r="E25">
        <f>'Financial Statements'!D62/'Financial Statements'!D68</f>
        <v>3.9570394404566951</v>
      </c>
    </row>
    <row r="26" spans="1:5" x14ac:dyDescent="0.2">
      <c r="A26" s="18">
        <f t="shared" ref="A26:A30" si="2">+A25+0.1</f>
        <v>3.2</v>
      </c>
      <c r="B26" s="1" t="s">
        <v>118</v>
      </c>
      <c r="C26">
        <f>'Financial Statements'!B62/'Financial Statements'!B48</f>
        <v>0.85635355983614692</v>
      </c>
      <c r="D26">
        <f>'Financial Statements'!C62/'Financial Statements'!C48</f>
        <v>0.82025743443057308</v>
      </c>
      <c r="E26">
        <f>'Financial Statements'!D62/'Financial Statements'!D48</f>
        <v>0.79826668477992391</v>
      </c>
    </row>
    <row r="27" spans="1:5" x14ac:dyDescent="0.2">
      <c r="A27" s="18">
        <f t="shared" si="2"/>
        <v>3.3000000000000003</v>
      </c>
      <c r="B27" s="1" t="s">
        <v>119</v>
      </c>
      <c r="C27">
        <f>'Financial Statements'!B59/'Financial Statements'!B68</f>
        <v>1.9529325860435744</v>
      </c>
      <c r="D27">
        <f>'Financial Statements'!C59/'Financial Statements'!C68</f>
        <v>1.729370740212395</v>
      </c>
      <c r="E27">
        <f>'Financial Statements'!D59/'Financial Statements'!D68</f>
        <v>1.5100782075024104</v>
      </c>
    </row>
    <row r="28" spans="1:5" x14ac:dyDescent="0.2">
      <c r="A28" s="18">
        <f t="shared" si="2"/>
        <v>3.4000000000000004</v>
      </c>
      <c r="B28" s="1" t="s">
        <v>120</v>
      </c>
      <c r="C28">
        <f>'Financial Statements'!B18/-'Financial Statements'!O18</f>
        <v>40.749573524394407</v>
      </c>
      <c r="D28">
        <f>'Financial Statements'!C18/-'Financial Statements'!P18</f>
        <v>41.190548204158787</v>
      </c>
      <c r="E28">
        <f>'Financial Statements'!D18/-'Financial Statements'!Q18</f>
        <v>23.072746258266619</v>
      </c>
    </row>
    <row r="29" spans="1:5" x14ac:dyDescent="0.2">
      <c r="A29" s="18">
        <f t="shared" si="2"/>
        <v>3.5000000000000004</v>
      </c>
      <c r="B29" s="1" t="s">
        <v>121</v>
      </c>
      <c r="C29">
        <f>'Financial Statements'!B18/SUM('Financial Statements'!B54:B55)</f>
        <v>5.6578398863098061</v>
      </c>
      <c r="D29">
        <f>'Financial Statements'!C18/SUM('Financial Statements'!C54:C55)</f>
        <v>6.9780951770960096</v>
      </c>
      <c r="E29">
        <f>'Financial Statements'!D18/SUM('Financial Statements'!D54:D55)</f>
        <v>4.814292976977268</v>
      </c>
    </row>
    <row r="30" spans="1:5" x14ac:dyDescent="0.2">
      <c r="A30" s="18">
        <f t="shared" si="2"/>
        <v>3.6000000000000005</v>
      </c>
      <c r="B30" s="1" t="s">
        <v>122</v>
      </c>
      <c r="C30" s="26">
        <f>C31/('Financial Statements'!B27/1000)</f>
        <v>6.864840527818175</v>
      </c>
      <c r="D30" s="26">
        <f>D31/('Financial Statements'!C27/1000)</f>
        <v>6.3239494572628958</v>
      </c>
      <c r="E30" s="26">
        <f>E31/('Financial Statements'!D27/1000)</f>
        <v>4.3720308741543326</v>
      </c>
    </row>
    <row r="31" spans="1:5" x14ac:dyDescent="0.2">
      <c r="A31" s="18"/>
      <c r="B31" s="3" t="s">
        <v>123</v>
      </c>
      <c r="C31" s="12">
        <f>'Financial Statements'!B91+'Financial Statements'!B96+SUM('Financial Statements'!B104:B106)</f>
        <v>111320</v>
      </c>
      <c r="D31" s="12">
        <f>'Financial Statements'!C91+'Financial Statements'!C96+SUM('Financial Statements'!C104:C106)</f>
        <v>105618</v>
      </c>
      <c r="E31" s="12">
        <f>'Financial Statements'!D91+'Financial Statements'!D96+SUM('Financial Statements'!D104:D106)</f>
        <v>75864</v>
      </c>
    </row>
    <row r="32" spans="1:5" x14ac:dyDescent="0.2">
      <c r="A32" s="18"/>
    </row>
    <row r="33" spans="1:5" x14ac:dyDescent="0.2">
      <c r="A33" s="18">
        <f>+A24+1</f>
        <v>4</v>
      </c>
      <c r="B33" s="17" t="s">
        <v>124</v>
      </c>
    </row>
    <row r="34" spans="1:5" x14ac:dyDescent="0.2">
      <c r="A34" s="18">
        <f>+A33+0.1</f>
        <v>4.0999999999999996</v>
      </c>
      <c r="B34" s="1" t="s">
        <v>125</v>
      </c>
      <c r="C34">
        <f>'Financial Statements'!B8/AVERAGE('Financial Statements'!B48:C48)</f>
        <v>1.1206368107173357</v>
      </c>
      <c r="D34">
        <f>'Financial Statements'!C8/AVERAGE('Financial Statements'!C48:D48)</f>
        <v>1.084078886929722</v>
      </c>
    </row>
    <row r="35" spans="1:5" x14ac:dyDescent="0.2">
      <c r="A35" s="18">
        <f t="shared" ref="A35:A37" si="3">+A34+0.1</f>
        <v>4.1999999999999993</v>
      </c>
      <c r="B35" s="1" t="s">
        <v>126</v>
      </c>
      <c r="C35">
        <f>'Financial Statements'!B8/AVERAGE('Financial Statements'!B45:C45)</f>
        <v>9.6699976703409884</v>
      </c>
      <c r="D35">
        <f>'Financial Statements'!C8/AVERAGE('Financial Statements'!C45:D45)</f>
        <v>9.6007400992047867</v>
      </c>
    </row>
    <row r="36" spans="1:5" x14ac:dyDescent="0.2">
      <c r="A36" s="18">
        <f t="shared" si="3"/>
        <v>4.2999999999999989</v>
      </c>
      <c r="B36" s="1" t="s">
        <v>127</v>
      </c>
      <c r="C36">
        <f>'Financial Statements'!B12/AVERAGE('Financial Statements'!B39:C39)</f>
        <v>38.789866389033492</v>
      </c>
      <c r="D36">
        <f>'Financial Statements'!C12/AVERAGE('Financial Statements'!C39:D39)</f>
        <v>40.030260313880277</v>
      </c>
    </row>
    <row r="37" spans="1:5" x14ac:dyDescent="0.2">
      <c r="A37" s="18">
        <f t="shared" si="3"/>
        <v>4.3999999999999986</v>
      </c>
      <c r="B37" s="1" t="s">
        <v>128</v>
      </c>
      <c r="C37">
        <f>'Financial Statements'!B22/'Financial Statements'!B48</f>
        <v>0.28292440929256851</v>
      </c>
      <c r="D37">
        <f>'Financial Statements'!C22/'Financial Statements'!C48</f>
        <v>0.26974205275183616</v>
      </c>
      <c r="E37">
        <f>'Financial Statements'!D22/'Financial Statements'!D48</f>
        <v>0.1772557180259843</v>
      </c>
    </row>
    <row r="38" spans="1:5" x14ac:dyDescent="0.2">
      <c r="A38" s="18"/>
    </row>
    <row r="39" spans="1:5" x14ac:dyDescent="0.2">
      <c r="A39" s="18">
        <f>+A33+1</f>
        <v>5</v>
      </c>
      <c r="B39" s="17" t="s">
        <v>129</v>
      </c>
    </row>
    <row r="40" spans="1:5" x14ac:dyDescent="0.2">
      <c r="A40" s="18">
        <f>+A39+0.1</f>
        <v>5.0999999999999996</v>
      </c>
      <c r="B40" s="1" t="s">
        <v>130</v>
      </c>
      <c r="C40">
        <f>Instructions!C27/C41</f>
        <v>24.460162601626017</v>
      </c>
      <c r="D40">
        <f>Instructions!D27/D41</f>
        <v>25.911816578483243</v>
      </c>
      <c r="E40">
        <f>Instructions!E27/E41</f>
        <v>33.9214501510574</v>
      </c>
    </row>
    <row r="41" spans="1:5" x14ac:dyDescent="0.2">
      <c r="A41" s="18">
        <f t="shared" ref="A41:A44" si="4">+A40+0.1</f>
        <v>5.1999999999999993</v>
      </c>
      <c r="B41" s="3" t="s">
        <v>131</v>
      </c>
      <c r="C41">
        <f>'Financial Statements'!B24</f>
        <v>6.15</v>
      </c>
      <c r="D41">
        <f>'Financial Statements'!C24</f>
        <v>5.67</v>
      </c>
      <c r="E41">
        <f>'Financial Statements'!D24</f>
        <v>3.31</v>
      </c>
    </row>
    <row r="42" spans="1:5" x14ac:dyDescent="0.2">
      <c r="A42" s="18">
        <f t="shared" si="4"/>
        <v>5.2999999999999989</v>
      </c>
      <c r="B42" s="1" t="s">
        <v>132</v>
      </c>
      <c r="C42">
        <f>Instructions!C27/'List of Ratios'!C43</f>
        <v>48.140340110712032</v>
      </c>
      <c r="D42">
        <f>Instructions!D27/'List of Ratios'!D43</f>
        <v>38.892865465842448</v>
      </c>
      <c r="E42">
        <f>Instructions!E27/'List of Ratios'!E43</f>
        <v>29.8182696600805</v>
      </c>
    </row>
    <row r="43" spans="1:5" x14ac:dyDescent="0.2">
      <c r="A43" s="18">
        <f t="shared" si="4"/>
        <v>5.3999999999999986</v>
      </c>
      <c r="B43" s="3" t="s">
        <v>133</v>
      </c>
      <c r="C43">
        <f>'Financial Statements'!B68/('Financial Statements'!B27/1000)</f>
        <v>3.1248221274308534</v>
      </c>
      <c r="D43">
        <f>'Financial Statements'!C68/('Financial Statements'!C27/1000)</f>
        <v>3.7775565837141025</v>
      </c>
      <c r="E43">
        <f>'Financial Statements'!D68/('Financial Statements'!D27/1000)</f>
        <v>3.7654767120949324</v>
      </c>
    </row>
    <row r="44" spans="1:5" x14ac:dyDescent="0.2">
      <c r="A44" s="18">
        <f t="shared" si="4"/>
        <v>5.4999999999999982</v>
      </c>
      <c r="B44" s="1" t="s">
        <v>134</v>
      </c>
      <c r="C44">
        <f>-'Financial Statements'!B102/'Financial Statements'!B22</f>
        <v>0.14870294480125848</v>
      </c>
      <c r="D44">
        <f>-'Financial Statements'!C102/'Financial Statements'!C22</f>
        <v>0.15279890156316012</v>
      </c>
      <c r="E44">
        <f>-'Financial Statements'!D102/'Financial Statements'!D22</f>
        <v>0.24526658654264863</v>
      </c>
    </row>
    <row r="45" spans="1:5" x14ac:dyDescent="0.2">
      <c r="A45" s="18"/>
      <c r="B45" s="3" t="s">
        <v>135</v>
      </c>
      <c r="C45">
        <f>-'Financial Statements'!B102/('Financial Statements'!B27/1000)</f>
        <v>0.91520929099307891</v>
      </c>
      <c r="D45">
        <f>-'Financial Statements'!C102/('Financial Statements'!C27/1000)</f>
        <v>0.86622144708498849</v>
      </c>
      <c r="E45">
        <f>-'Financial Statements'!D102/('Financial Statements'!D27/1000)</f>
        <v>0.81148590555424394</v>
      </c>
    </row>
    <row r="46" spans="1:5" x14ac:dyDescent="0.2">
      <c r="A46" s="18">
        <f>+A44+0.1</f>
        <v>5.5999999999999979</v>
      </c>
      <c r="B46" s="1" t="s">
        <v>136</v>
      </c>
      <c r="C46">
        <f>C45/Instructions!C27</f>
        <v>6.0839546034240433E-3</v>
      </c>
      <c r="D46">
        <f>D45/Instructions!D27</f>
        <v>5.8958715429144335E-3</v>
      </c>
      <c r="E46">
        <f>E45/Instructions!E27</f>
        <v>7.2273415172269678E-3</v>
      </c>
    </row>
    <row r="47" spans="1:5" x14ac:dyDescent="0.2">
      <c r="A47" s="18">
        <f t="shared" ref="A47:A50" si="5">+A45+0.1</f>
        <v>0.1</v>
      </c>
      <c r="B47" s="1" t="s">
        <v>137</v>
      </c>
      <c r="C47">
        <f>'Financial Statements'!B22/'Financial Statements'!B68</f>
        <v>1.9695887275023682</v>
      </c>
      <c r="D47">
        <f>'Financial Statements'!C22/'Financial Statements'!C68</f>
        <v>1.5007132667617689</v>
      </c>
      <c r="E47">
        <f>'Financial Statements'!D22/'Financial Statements'!D68</f>
        <v>0.87866358530127486</v>
      </c>
    </row>
    <row r="48" spans="1:5" x14ac:dyDescent="0.2">
      <c r="A48" s="18">
        <f t="shared" si="5"/>
        <v>5.6999999999999975</v>
      </c>
      <c r="B48" s="1" t="s">
        <v>138</v>
      </c>
      <c r="C48">
        <f>'Financial Statements'!B18/('Financial Statements'!B48-'Financial Statements'!B56)</f>
        <v>0.60087134570590572</v>
      </c>
      <c r="D48">
        <f>'Financial Statements'!C18/('Financial Statements'!C48-'Financial Statements'!C56)</f>
        <v>0.48309913489209433</v>
      </c>
      <c r="E48">
        <f>'Financial Statements'!D18/('Financial Statements'!D48-'Financial Statements'!D56)</f>
        <v>0.30338312829525482</v>
      </c>
    </row>
    <row r="49" spans="1:5" x14ac:dyDescent="0.2">
      <c r="A49" s="18">
        <f t="shared" si="5"/>
        <v>0.2</v>
      </c>
      <c r="B49" s="1" t="s">
        <v>128</v>
      </c>
      <c r="C49">
        <f>'Financial Statements'!B22/'Financial Statements'!B48</f>
        <v>0.28292440929256851</v>
      </c>
      <c r="D49">
        <f>'Financial Statements'!C22/'Financial Statements'!C48</f>
        <v>0.26974205275183616</v>
      </c>
      <c r="E49">
        <f>'Financial Statements'!D22/'Financial Statements'!D48</f>
        <v>0.1772557180259843</v>
      </c>
    </row>
    <row r="50" spans="1:5" x14ac:dyDescent="0.2">
      <c r="A50" s="18">
        <f t="shared" si="5"/>
        <v>5.7999999999999972</v>
      </c>
      <c r="B50" s="1" t="s">
        <v>139</v>
      </c>
      <c r="C50">
        <f>C51/C19</f>
        <v>19.425240453880392</v>
      </c>
      <c r="D50">
        <f t="shared" ref="D50:E50" si="6">D51/D19</f>
        <v>21.155006381276351</v>
      </c>
      <c r="E50">
        <f t="shared" si="6"/>
        <v>26.152202127120397</v>
      </c>
    </row>
    <row r="51" spans="1:5" x14ac:dyDescent="0.2">
      <c r="A51" s="18"/>
      <c r="B51" s="3" t="s">
        <v>140</v>
      </c>
      <c r="C51" s="25">
        <f>Instructions!C27*'Financial Statements'!B27/1000+SUM('Financial Statements'!B54:B55,'Financial Statements'!B59)-'Financial Statements'!B36</f>
        <v>2535790.31409</v>
      </c>
      <c r="D51" s="25">
        <f>Instructions!D27*'Financial Statements'!C27/1000+SUM('Financial Statements'!C54:C55,'Financial Statements'!C59)-'Financial Statements'!C36</f>
        <v>2543529.8822399997</v>
      </c>
      <c r="E51" s="25">
        <f>Instructions!E27*'Financial Statements'!D27/1000+SUM('Financial Statements'!D54:D55,'Financial Statements'!D59)-'Financial Statements'!D36</f>
        <v>2022715.92132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Jackie Xie</cp:lastModifiedBy>
  <dcterms:created xsi:type="dcterms:W3CDTF">2020-05-18T16:32:37Z</dcterms:created>
  <dcterms:modified xsi:type="dcterms:W3CDTF">2024-08-29T21:04:27Z</dcterms:modified>
</cp:coreProperties>
</file>