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ckietse/Desktop/Investment Analyst/Task 2/"/>
    </mc:Choice>
  </mc:AlternateContent>
  <xr:revisionPtr revIDLastSave="0" documentId="13_ncr:1_{A1FE56B0-D5FA-9541-84E7-3B775BC0600F}" xr6:coauthVersionLast="47" xr6:coauthVersionMax="47" xr10:uidLastSave="{00000000-0000-0000-0000-000000000000}"/>
  <bookViews>
    <workbookView xWindow="0" yWindow="760" windowWidth="30240" windowHeight="175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D48" i="3"/>
  <c r="D49" i="3"/>
  <c r="D51" i="3"/>
  <c r="D50" i="3" s="1"/>
  <c r="E51" i="3"/>
  <c r="E50" i="3" s="1"/>
  <c r="C50" i="3"/>
  <c r="C51" i="3"/>
  <c r="C48" i="3"/>
  <c r="C49" i="3"/>
  <c r="C47" i="3"/>
  <c r="D44" i="3"/>
  <c r="E44" i="3"/>
  <c r="D46" i="3"/>
  <c r="E46" i="3"/>
  <c r="C44" i="3"/>
  <c r="C46" i="3"/>
  <c r="D42" i="3"/>
  <c r="E42" i="3"/>
  <c r="C42" i="3"/>
  <c r="D43" i="3"/>
  <c r="E43" i="3"/>
  <c r="C43" i="3"/>
  <c r="D41" i="3"/>
  <c r="D40" i="3" s="1"/>
  <c r="E41" i="3"/>
  <c r="E40" i="3" s="1"/>
  <c r="C41" i="3"/>
  <c r="C40" i="3" s="1"/>
  <c r="D34" i="3"/>
  <c r="D35" i="3"/>
  <c r="D36" i="3"/>
  <c r="D37" i="3"/>
  <c r="C37" i="3"/>
  <c r="C36" i="3"/>
  <c r="C35" i="3"/>
  <c r="C34" i="3"/>
  <c r="D25" i="3"/>
  <c r="E25" i="3"/>
  <c r="D26" i="3"/>
  <c r="E26" i="3"/>
  <c r="D27" i="3"/>
  <c r="E27" i="3"/>
  <c r="D28" i="3"/>
  <c r="E28" i="3"/>
  <c r="D29" i="3"/>
  <c r="E29" i="3"/>
  <c r="D31" i="3"/>
  <c r="D30" i="3" s="1"/>
  <c r="E31" i="3"/>
  <c r="E30" i="3" s="1"/>
  <c r="C31" i="3"/>
  <c r="C30" i="3" s="1"/>
  <c r="C29" i="3"/>
  <c r="C28" i="3" l="1"/>
  <c r="C27" i="3"/>
  <c r="C26" i="3"/>
  <c r="C25" i="3"/>
  <c r="D17" i="3"/>
  <c r="E17" i="3"/>
  <c r="D18" i="3"/>
  <c r="E18" i="3"/>
  <c r="D19" i="3"/>
  <c r="E19" i="3"/>
  <c r="D21" i="3"/>
  <c r="D20" i="3" s="1"/>
  <c r="E21" i="3"/>
  <c r="E20" i="3" s="1"/>
  <c r="D22" i="3"/>
  <c r="E22" i="3"/>
  <c r="C22" i="3"/>
  <c r="C19" i="3"/>
  <c r="C18" i="3" s="1"/>
  <c r="C21" i="3"/>
  <c r="C20" i="3" s="1"/>
  <c r="C17" i="3"/>
  <c r="D5" i="3"/>
  <c r="E5" i="3"/>
  <c r="D6" i="3"/>
  <c r="E6" i="3"/>
  <c r="D7" i="3"/>
  <c r="E7" i="3"/>
  <c r="D8" i="3"/>
  <c r="E8" i="3"/>
  <c r="D9" i="3"/>
  <c r="E9" i="3"/>
  <c r="E12" i="3" s="1"/>
  <c r="D10" i="3"/>
  <c r="E10" i="3"/>
  <c r="D11" i="3"/>
  <c r="E11" i="3"/>
  <c r="D14" i="3"/>
  <c r="D13" i="3" s="1"/>
  <c r="E14" i="3"/>
  <c r="E13" i="3" s="1"/>
  <c r="C14" i="3"/>
  <c r="C13" i="3" s="1"/>
  <c r="C11" i="3"/>
  <c r="C10" i="3"/>
  <c r="C9" i="3"/>
  <c r="C12" i="3" s="1"/>
  <c r="C8" i="3"/>
  <c r="D12" i="3" l="1"/>
  <c r="C7" i="3"/>
  <c r="C6" i="3"/>
  <c r="C5" i="3"/>
  <c r="B104" i="2"/>
  <c r="B103" i="2"/>
  <c r="C101" i="2"/>
  <c r="D101" i="2"/>
  <c r="C92" i="2"/>
  <c r="D92" i="2"/>
  <c r="B101" i="2"/>
  <c r="B92" i="2"/>
  <c r="C85" i="2"/>
  <c r="D85" i="2"/>
  <c r="B85" i="2"/>
  <c r="C65" i="2" a="1"/>
  <c r="C65" i="2" s="1"/>
  <c r="D65" i="2" a="1"/>
  <c r="D65" i="2"/>
  <c r="C53" i="2"/>
  <c r="D53" i="2"/>
  <c r="B65" i="2" a="1"/>
  <c r="B65" i="2" s="1"/>
  <c r="B66" i="2" s="1"/>
  <c r="B53" i="2"/>
  <c r="C42" i="2"/>
  <c r="C47" i="2" s="1"/>
  <c r="D42" i="2"/>
  <c r="D47" i="2" s="1"/>
  <c r="B42" i="2"/>
  <c r="B47" i="2" s="1"/>
  <c r="C7" i="2"/>
  <c r="D7" i="2"/>
  <c r="C15" i="2"/>
  <c r="D15" i="2"/>
  <c r="C20" i="2"/>
  <c r="D20" i="2"/>
  <c r="B20" i="2"/>
  <c r="B15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03" i="2" l="1"/>
  <c r="D104" i="2" s="1"/>
  <c r="C103" i="2"/>
  <c r="C104" i="2" s="1"/>
  <c r="C66" i="2"/>
  <c r="D66" i="2"/>
  <c r="B16" i="2"/>
  <c r="B21" i="2" s="1"/>
  <c r="B24" i="2" s="1"/>
  <c r="B26" i="2" s="1"/>
  <c r="D16" i="2"/>
  <c r="D21" i="2" s="1"/>
  <c r="D24" i="2" s="1"/>
  <c r="C16" i="2"/>
  <c r="C21" i="2" s="1"/>
  <c r="C24" i="2" s="1"/>
  <c r="C26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26" i="2" l="1"/>
  <c r="D25" i="2"/>
  <c r="B25" i="2"/>
  <c r="C25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<sst xmlns="http://schemas.openxmlformats.org/spreadsheetml/2006/main" count="162" uniqueCount="152">
  <si>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</si>
  <si>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</si>
  <si>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</si>
  <si>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</si>
  <si>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</si>
  <si>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</si>
  <si>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</si>
  <si>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</si>
  <si>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</si>
  <si>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</si>
  <si>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</si>
  <si>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</si>
  <si>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</si>
  <si>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</si>
  <si>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</si>
  <si>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</si>
  <si>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</si>
  <si>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</si>
  <si>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</si>
  <si>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</si>
  <si>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</si>
  <si>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</si>
  <si>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</si>
  <si>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</si>
  <si>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</si>
  <si>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</si>
  <si>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</si>
  <si>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</si>
  <si>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</si>
  <si>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</si>
  <si>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</si>
  <si>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</si>
  <si>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</si>
  <si>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</si>
  <si>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</si>
  <si>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</si>
  <si>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</si>
  <si>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</si>
  <si>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</si>
  <si>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</si>
  <si>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</si>
  <si>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</si>
  <si>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</si>
  <si>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</si>
  <si>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</si>
  <si>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</si>
  <si>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</si>
  <si>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</si>
  <si>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</si>
  <si>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</si>
  <si>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</si>
  <si>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</si>
  <si>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</si>
  <si>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</si>
  <si>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</si>
  <si>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</si>
  <si>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</si>
  <si>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</si>
  <si>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</si>
  <si>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</t>
  </si>
  <si>
    <t xml:space="preserve">Net service sales </t>
  </si>
  <si>
    <t xml:space="preserve">  Total net sales </t>
  </si>
  <si>
    <t xml:space="preserve">Operating expenses: </t>
  </si>
  <si>
    <t xml:space="preserve">  Cost of sales </t>
  </si>
  <si>
    <t xml:space="preserve">  Fulfillment </t>
  </si>
  <si>
    <t xml:space="preserve">  Technology and content </t>
  </si>
  <si>
    <t xml:space="preserve">  Sales and marketing </t>
  </si>
  <si>
    <t xml:space="preserve">  General and administrative </t>
  </si>
  <si>
    <t xml:space="preserve">  Other operating expense (income), net </t>
  </si>
  <si>
    <t xml:space="preserve">    Total operating expenses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</si>
  <si>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</si>
  <si>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</si>
  <si>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</si>
  <si>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</si>
  <si>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Income (loss) before income taxes </t>
  </si>
  <si>
    <t xml:space="preserve">Benefit (provision) for income taxes </t>
  </si>
  <si>
    <t xml:space="preserve">Equity-method investment activity, net of tax </t>
  </si>
  <si>
    <t xml:space="preserve">Net income (loss) </t>
  </si>
  <si>
    <t xml:space="preserve">Basic earnings per share </t>
  </si>
  <si>
    <t xml:space="preserve">Diluted earnings per share </t>
  </si>
  <si>
    <t xml:space="preserve">Weighted-average shares used in computation of earnings per share: </t>
  </si>
  <si>
    <t xml:space="preserve">  Total non-operating income (expense) </t>
  </si>
  <si>
    <t xml:space="preserve">  Basic </t>
  </si>
  <si>
    <t xml:space="preserve">  Diluted </t>
  </si>
  <si>
    <t>(In millions, except per share data)</t>
  </si>
  <si>
    <t>AMAZON.COM, INC.</t>
  </si>
  <si>
    <t>As at December 31,</t>
  </si>
  <si>
    <t xml:space="preserve">Current assets: </t>
  </si>
  <si>
    <t xml:space="preserve">ASSETS </t>
  </si>
  <si>
    <t xml:space="preserve">Property and equipment, net </t>
  </si>
  <si>
    <t xml:space="preserve">Operating leases </t>
  </si>
  <si>
    <t xml:space="preserve">Goodwill </t>
  </si>
  <si>
    <t xml:space="preserve">Other assets </t>
  </si>
  <si>
    <t xml:space="preserve">  Cash and cash equivalents </t>
  </si>
  <si>
    <t xml:space="preserve">  Marketable securities </t>
  </si>
  <si>
    <t xml:space="preserve">  Inventories </t>
  </si>
  <si>
    <t xml:space="preserve">  Accounts receivable, net and other </t>
  </si>
  <si>
    <t xml:space="preserve">    Total current assets </t>
  </si>
  <si>
    <t xml:space="preserve">    Total assets </t>
  </si>
  <si>
    <t xml:space="preserve">LIABILITIES AND STOCKHOLDERS’ EQUITY </t>
  </si>
  <si>
    <t xml:space="preserve">Current liabilities: </t>
  </si>
  <si>
    <t xml:space="preserve">Long-term lease liabilities </t>
  </si>
  <si>
    <t xml:space="preserve">Long-term debt </t>
  </si>
  <si>
    <t xml:space="preserve">Other long-term liabilities </t>
  </si>
  <si>
    <t xml:space="preserve">Commitments and contingencies (Note 7) </t>
  </si>
  <si>
    <t xml:space="preserve">Stockholders’ equity: </t>
  </si>
  <si>
    <t xml:space="preserve">  Accounts payable </t>
  </si>
  <si>
    <t xml:space="preserve">  Accrued expenses and other </t>
  </si>
  <si>
    <t xml:space="preserve">  Unearned revenue </t>
  </si>
  <si>
    <t xml:space="preserve">    Total current liabilities </t>
  </si>
  <si>
    <t xml:space="preserve">  Preferred stock ($0.01 par value; 500 shares authorized; no shares issued or outstanding) </t>
  </si>
  <si>
    <t xml:space="preserve">  Common stock ($0.01 par value; 100,000 shares authorized; 10,644 and 10,757 shares issued; 10,175 and 10,242 shares outstanding) </t>
  </si>
  <si>
    <t xml:space="preserve">  Treasury stock, at cost </t>
  </si>
  <si>
    <t xml:space="preserve">  Additional paid-in capital </t>
  </si>
  <si>
    <t xml:space="preserve">  Accumulated other comprehensive income (loss) </t>
  </si>
  <si>
    <t xml:space="preserve">  Retained earnings </t>
  </si>
  <si>
    <t xml:space="preserve">    Total stockholders’ equity </t>
  </si>
  <si>
    <t xml:space="preserve">      Total liabilities and stockholders’ equity </t>
  </si>
  <si>
    <t>CASH, CASH EQUIVALENTS, AND RESTRICTED CASH, BEGINNING OF PERIOD</t>
  </si>
  <si>
    <t xml:space="preserve">OPERATING ACTIVITIES: </t>
  </si>
  <si>
    <t xml:space="preserve">Adjustments to reconcile net income (loss) to net cash from operating activities: </t>
  </si>
  <si>
    <t xml:space="preserve">Changes in operating assets and liabilities: </t>
  </si>
  <si>
    <t xml:space="preserve">INVESTING ACTIVITIES: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</si>
  <si>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</si>
  <si>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</si>
  <si>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</si>
  <si>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</si>
  <si>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</si>
  <si>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FINANCING ACTIVITIES: </t>
  </si>
  <si>
    <t xml:space="preserve">Common stock repurchased </t>
  </si>
  <si>
    <t xml:space="preserve">Proceeds from short-term debt, and other </t>
  </si>
  <si>
    <t xml:space="preserve">Repayments of short-term debt, and other </t>
  </si>
  <si>
    <t xml:space="preserve">Proceeds from long-term debt </t>
  </si>
  <si>
    <t xml:space="preserve">Repayments of long-term debt </t>
  </si>
  <si>
    <t xml:space="preserve">Principal repayments of finance leases </t>
  </si>
  <si>
    <t xml:space="preserve">Principal repayments of financing obligations </t>
  </si>
  <si>
    <t xml:space="preserve">Foreign currency effect on cash, cash equivalents, and restricted cash </t>
  </si>
  <si>
    <t xml:space="preserve">Net increase (decrease) in cash, cash equivalents, and restricted cash </t>
  </si>
  <si>
    <t>CASH, CASH EQUIVALENTS, AND RESTRICTED CASH, END OF PERIOD</t>
  </si>
  <si>
    <t xml:space="preserve">  Depreciation and amortization of property and equipment and capitalized content costs, operating lease assets, and other </t>
  </si>
  <si>
    <t xml:space="preserve">  Stock-based compensation </t>
  </si>
  <si>
    <t xml:space="preserve">  Other expense (income), net </t>
  </si>
  <si>
    <t xml:space="preserve">  Deferred income taxes </t>
  </si>
  <si>
    <t xml:space="preserve">    Net cash provided by (used in) operating activities </t>
  </si>
  <si>
    <t xml:space="preserve">    Net cash provided by (used in) investing activities </t>
  </si>
  <si>
    <t xml:space="preserve">    Net cash provided by (used in) financing activities </t>
  </si>
  <si>
    <t>Note 1</t>
  </si>
  <si>
    <t xml:space="preserve">Payroll related expenses </t>
  </si>
  <si>
    <t xml:space="preserve">Unredeemed gift cards </t>
  </si>
  <si>
    <t xml:space="preserve">Accrued Expenses and Other </t>
  </si>
  <si>
    <t>Price</t>
  </si>
  <si>
    <t>Yahoo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</si>
</sst>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164" fontId="7" fillId="0" borderId="0" xfId="1" applyNumberFormat="1" applyFont="1"/>
    <xf numFmtId="164" fontId="7" fillId="0" borderId="3" xfId="1" applyNumberFormat="1" applyFont="1" applyBorder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2" xfId="1" applyNumberFormat="1" applyFont="1" applyBorder="1"/>
    <xf numFmtId="43" fontId="0" fillId="0" borderId="0" xfId="1" applyFont="1"/>
    <xf numFmtId="0" fontId="8" fillId="0" borderId="0" xfId="0" applyFont="1" applyAlignment="1">
      <alignment horizontal="center"/>
    </xf>
    <xf numFmtId="164" fontId="1" fillId="0" borderId="0" xfId="1" applyNumberFormat="1" applyFont="1" applyBorder="1"/>
    <xf numFmtId="10" fontId="0" fillId="0" borderId="0" xfId="3" applyNumberFormat="1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164" fontId="7" fillId="0" borderId="0" xfId="1" applyNumberFormat="1" applyFont="1" applyBorder="1"/>
    <xf numFmtId="164" fontId="7" fillId="0" borderId="9" xfId="1" applyNumberFormat="1" applyFont="1" applyBorder="1"/>
    <xf numFmtId="0" fontId="0" fillId="0" borderId="10" xfId="0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4" fontId="0" fillId="0" borderId="0" xfId="0" applyNumberFormat="1"/>
    <xf numFmtId="43" fontId="0" fillId="0" borderId="0" xfId="0" applyNumberFormat="1"/>
    <xf numFmtId="0" fontId="0" fillId="4" borderId="0" xfId="0" applyFill="1"/>
    <xf numFmtId="0" fontId="0" fillId="0" borderId="5" xfId="0" applyBorder="1"/>
    <xf numFmtId="43" fontId="7" fillId="0" borderId="11" xfId="1" applyFont="1" applyBorder="1"/>
    <xf numFmtId="43" fontId="7" fillId="0" borderId="12" xfId="1" applyFont="1" applyBorder="1"/>
    <xf numFmtId="43" fontId="0" fillId="4" borderId="0" xfId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Alignment="1">
      <alignment horizontal="left" inden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40" zoomScaleNormal="140" workbookViewId="0">
      <selection activeCell="A3" sqref="A3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57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55</v>
      </c>
    </row>
    <row r="8" spans="1:1" ht="16" x14ac:dyDescent="0.2">
      <c r="A8" s="2" t="s">
        <v>56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workbookViewId="0"/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19.6640625" bestFit="1" customWidth="1"/>
    <col min="7" max="8" width="9.1640625" bestFit="1" customWidth="1"/>
  </cols>
  <sheetData>
    <row r="1" spans="1:10" ht="60" customHeight="1" x14ac:dyDescent="0.2">
      <c r="A1" s="7" t="s">
        <v>85</v>
      </c>
      <c r="B1" s="8" t="s">
        <v>84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8" t="s">
        <v>9</v>
      </c>
      <c r="B2" s="48"/>
      <c r="C2" s="48"/>
      <c r="D2" s="48"/>
    </row>
    <row r="3" spans="1:10" x14ac:dyDescent="0.2">
      <c r="B3" s="47" t="s">
        <v>58</v>
      </c>
      <c r="C3" s="47"/>
      <c r="D3" s="47"/>
    </row>
    <row r="4" spans="1:10" x14ac:dyDescent="0.2">
      <c r="B4" s="9">
        <v>2022</v>
      </c>
      <c r="C4" s="9">
        <v>2021</v>
      </c>
      <c r="D4" s="9">
        <v>2020</v>
      </c>
    </row>
    <row r="5" spans="1:10" x14ac:dyDescent="0.2">
      <c r="A5" t="s">
        <v>59</v>
      </c>
      <c r="B5" s="20">
        <v>242901</v>
      </c>
      <c r="C5" s="20">
        <v>241787</v>
      </c>
      <c r="D5" s="20">
        <v>215915</v>
      </c>
    </row>
    <row r="6" spans="1:10" x14ac:dyDescent="0.2">
      <c r="A6" s="17" t="s">
        <v>60</v>
      </c>
      <c r="B6" s="21">
        <v>271082</v>
      </c>
      <c r="C6" s="21">
        <v>228035</v>
      </c>
      <c r="D6" s="21">
        <v>170149</v>
      </c>
    </row>
    <row r="7" spans="1:10" x14ac:dyDescent="0.2">
      <c r="A7" s="16" t="s">
        <v>61</v>
      </c>
      <c r="B7" s="22">
        <f>SUM(B5:B6)</f>
        <v>513983</v>
      </c>
      <c r="C7" s="22">
        <f t="shared" ref="C7:D7" si="0">SUM(C5:C6)</f>
        <v>469822</v>
      </c>
      <c r="D7" s="22">
        <f t="shared" si="0"/>
        <v>386064</v>
      </c>
    </row>
    <row r="8" spans="1:10" x14ac:dyDescent="0.2">
      <c r="A8" t="s">
        <v>62</v>
      </c>
      <c r="B8" s="20"/>
      <c r="C8" s="20"/>
      <c r="D8" s="20"/>
    </row>
    <row r="9" spans="1:10" x14ac:dyDescent="0.2">
      <c r="A9" t="s">
        <v>63</v>
      </c>
      <c r="B9" s="20">
        <v>288831</v>
      </c>
      <c r="C9" s="20">
        <v>272344</v>
      </c>
      <c r="D9" s="20">
        <v>233307</v>
      </c>
    </row>
    <row r="10" spans="1:10" x14ac:dyDescent="0.2">
      <c r="A10" t="s">
        <v>64</v>
      </c>
      <c r="B10" s="20">
        <v>84299</v>
      </c>
      <c r="C10" s="20">
        <v>75111</v>
      </c>
      <c r="D10" s="20">
        <v>58517</v>
      </c>
    </row>
    <row r="11" spans="1:10" x14ac:dyDescent="0.2">
      <c r="A11" t="s">
        <v>65</v>
      </c>
      <c r="B11" s="20">
        <v>73213</v>
      </c>
      <c r="C11" s="20">
        <v>56052</v>
      </c>
      <c r="D11" s="20">
        <v>42740</v>
      </c>
    </row>
    <row r="12" spans="1:10" x14ac:dyDescent="0.2">
      <c r="A12" t="s">
        <v>66</v>
      </c>
      <c r="B12" s="20">
        <v>42238</v>
      </c>
      <c r="C12" s="20">
        <v>32551</v>
      </c>
      <c r="D12" s="20">
        <v>22008</v>
      </c>
    </row>
    <row r="13" spans="1:10" x14ac:dyDescent="0.2">
      <c r="A13" t="s">
        <v>67</v>
      </c>
      <c r="B13" s="20">
        <v>11891</v>
      </c>
      <c r="C13" s="20">
        <v>8823</v>
      </c>
      <c r="D13" s="20">
        <v>6668</v>
      </c>
    </row>
    <row r="14" spans="1:10" x14ac:dyDescent="0.2">
      <c r="A14" s="17" t="s">
        <v>68</v>
      </c>
      <c r="B14" s="20">
        <v>1263</v>
      </c>
      <c r="C14" s="20">
        <v>62</v>
      </c>
      <c r="D14" s="20">
        <v>-75</v>
      </c>
    </row>
    <row r="15" spans="1:10" x14ac:dyDescent="0.2">
      <c r="A15" s="18" t="s">
        <v>69</v>
      </c>
      <c r="B15" s="23">
        <f>SUM(B9:B14)</f>
        <v>501735</v>
      </c>
      <c r="C15" s="23">
        <f t="shared" ref="C15:D15" si="1">SUM(C9:C14)</f>
        <v>444943</v>
      </c>
      <c r="D15" s="23">
        <f t="shared" si="1"/>
        <v>363165</v>
      </c>
    </row>
    <row r="16" spans="1:10" x14ac:dyDescent="0.2">
      <c r="A16" t="s">
        <v>70</v>
      </c>
      <c r="B16" s="23">
        <f>B7-B15</f>
        <v>12248</v>
      </c>
      <c r="C16" s="23">
        <f t="shared" ref="C16:D16" si="2">C7-C15</f>
        <v>24879</v>
      </c>
      <c r="D16" s="23">
        <f t="shared" si="2"/>
        <v>22899</v>
      </c>
    </row>
    <row r="17" spans="1:4" x14ac:dyDescent="0.2">
      <c r="A17" t="s">
        <v>71</v>
      </c>
      <c r="B17" s="20">
        <v>989</v>
      </c>
      <c r="C17" s="20">
        <v>448</v>
      </c>
      <c r="D17" s="20">
        <v>555</v>
      </c>
    </row>
    <row r="18" spans="1:4" x14ac:dyDescent="0.2">
      <c r="A18" t="s">
        <v>72</v>
      </c>
      <c r="B18" s="20">
        <v>-2367</v>
      </c>
      <c r="C18" s="20">
        <v>-1809</v>
      </c>
      <c r="D18" s="20">
        <v>-1647</v>
      </c>
    </row>
    <row r="19" spans="1:4" x14ac:dyDescent="0.2">
      <c r="A19" s="17" t="s">
        <v>73</v>
      </c>
      <c r="B19" s="20">
        <v>-16806</v>
      </c>
      <c r="C19" s="20">
        <v>14633</v>
      </c>
      <c r="D19" s="20">
        <v>2371</v>
      </c>
    </row>
    <row r="20" spans="1:4" x14ac:dyDescent="0.2">
      <c r="A20" s="18" t="s">
        <v>81</v>
      </c>
      <c r="B20" s="23">
        <f>SUM(B17:B19)</f>
        <v>-18184</v>
      </c>
      <c r="C20" s="23">
        <f t="shared" ref="C20:D20" si="3">SUM(C17:C19)</f>
        <v>13272</v>
      </c>
      <c r="D20" s="23">
        <f t="shared" si="3"/>
        <v>1279</v>
      </c>
    </row>
    <row r="21" spans="1:4" s="9" customFormat="1" x14ac:dyDescent="0.2">
      <c r="A21" t="s">
        <v>74</v>
      </c>
      <c r="B21" s="23">
        <f>B16+B20</f>
        <v>-5936</v>
      </c>
      <c r="C21" s="23">
        <f t="shared" ref="C21:D21" si="4">C16+C20</f>
        <v>38151</v>
      </c>
      <c r="D21" s="23">
        <f t="shared" si="4"/>
        <v>24178</v>
      </c>
    </row>
    <row r="22" spans="1:4" s="9" customFormat="1" x14ac:dyDescent="0.2">
      <c r="A22" t="s">
        <v>75</v>
      </c>
      <c r="B22" s="20">
        <v>3217</v>
      </c>
      <c r="C22" s="20">
        <v>-4791</v>
      </c>
      <c r="D22" s="20">
        <v>-2863</v>
      </c>
    </row>
    <row r="23" spans="1:4" x14ac:dyDescent="0.2">
      <c r="A23" t="s">
        <v>76</v>
      </c>
      <c r="B23" s="20">
        <v>-3</v>
      </c>
      <c r="C23" s="20">
        <v>4</v>
      </c>
      <c r="D23" s="20">
        <v>16</v>
      </c>
    </row>
    <row r="24" spans="1:4" ht="16" thickBot="1" x14ac:dyDescent="0.25">
      <c r="A24" s="19" t="s">
        <v>77</v>
      </c>
      <c r="B24" s="24">
        <f>SUM(B21:B23)</f>
        <v>-2722</v>
      </c>
      <c r="C24" s="24">
        <f t="shared" ref="C24:D24" si="5">SUM(C21:C23)</f>
        <v>33364</v>
      </c>
      <c r="D24" s="24">
        <f t="shared" si="5"/>
        <v>21331</v>
      </c>
    </row>
    <row r="25" spans="1:4" ht="16" thickTop="1" x14ac:dyDescent="0.2">
      <c r="A25" t="s">
        <v>78</v>
      </c>
      <c r="B25" s="25">
        <f>B$24/B28</f>
        <v>-0.2671508489547551</v>
      </c>
      <c r="C25" s="25">
        <f t="shared" ref="C25:D25" si="6">C$24/C28</f>
        <v>3.2978155579717305</v>
      </c>
      <c r="D25" s="25">
        <f t="shared" si="6"/>
        <v>2.1320339830084958</v>
      </c>
    </row>
    <row r="26" spans="1:4" x14ac:dyDescent="0.2">
      <c r="A26" t="s">
        <v>79</v>
      </c>
      <c r="B26" s="25">
        <f>B$24/B29</f>
        <v>-0.2671508489547551</v>
      </c>
      <c r="C26" s="25">
        <f t="shared" ref="C26:D26" si="7">C$24/C29</f>
        <v>3.2404817404817403</v>
      </c>
      <c r="D26" s="25">
        <f t="shared" si="7"/>
        <v>2.0916846440478527</v>
      </c>
    </row>
    <row r="27" spans="1:4" x14ac:dyDescent="0.2">
      <c r="A27" t="s">
        <v>80</v>
      </c>
    </row>
    <row r="28" spans="1:4" x14ac:dyDescent="0.2">
      <c r="A28" t="s">
        <v>82</v>
      </c>
      <c r="B28" s="20">
        <v>10189</v>
      </c>
      <c r="C28" s="20">
        <v>10117</v>
      </c>
      <c r="D28" s="20">
        <v>10005</v>
      </c>
    </row>
    <row r="29" spans="1:4" x14ac:dyDescent="0.2">
      <c r="A29" t="s">
        <v>83</v>
      </c>
      <c r="B29" s="20">
        <v>10189</v>
      </c>
      <c r="C29" s="20">
        <v>10296</v>
      </c>
      <c r="D29" s="20">
        <v>10198</v>
      </c>
    </row>
    <row r="30" spans="1:4" x14ac:dyDescent="0.2">
      <c r="A30" s="1"/>
      <c r="B30" s="11"/>
      <c r="C30" s="11"/>
      <c r="D30" s="11"/>
    </row>
    <row r="33" spans="1:4" x14ac:dyDescent="0.2">
      <c r="A33" s="48" t="s">
        <v>11</v>
      </c>
      <c r="B33" s="48"/>
      <c r="C33" s="48"/>
      <c r="D33" s="48"/>
    </row>
    <row r="34" spans="1:4" x14ac:dyDescent="0.2">
      <c r="B34" s="47" t="s">
        <v>86</v>
      </c>
      <c r="C34" s="47"/>
      <c r="D34" s="47"/>
    </row>
    <row r="35" spans="1:4" x14ac:dyDescent="0.2">
      <c r="B35" s="9">
        <v>2022</v>
      </c>
      <c r="C35" s="9">
        <v>2021</v>
      </c>
      <c r="D35" s="9">
        <v>2020</v>
      </c>
    </row>
    <row r="36" spans="1:4" x14ac:dyDescent="0.2">
      <c r="A36" s="26" t="s">
        <v>88</v>
      </c>
    </row>
    <row r="37" spans="1:4" x14ac:dyDescent="0.2">
      <c r="A37" t="s">
        <v>87</v>
      </c>
    </row>
    <row r="38" spans="1:4" x14ac:dyDescent="0.2">
      <c r="A38" t="s">
        <v>93</v>
      </c>
      <c r="B38" s="20">
        <v>53888</v>
      </c>
      <c r="C38" s="20">
        <v>36220</v>
      </c>
      <c r="D38" s="20">
        <v>42122</v>
      </c>
    </row>
    <row r="39" spans="1:4" x14ac:dyDescent="0.2">
      <c r="A39" t="s">
        <v>94</v>
      </c>
      <c r="B39" s="20">
        <v>16138</v>
      </c>
      <c r="C39" s="20">
        <v>59829</v>
      </c>
      <c r="D39" s="20">
        <v>42274</v>
      </c>
    </row>
    <row r="40" spans="1:4" x14ac:dyDescent="0.2">
      <c r="A40" t="s">
        <v>95</v>
      </c>
      <c r="B40" s="20">
        <v>34405</v>
      </c>
      <c r="C40" s="20">
        <v>32640</v>
      </c>
      <c r="D40" s="20">
        <v>23795</v>
      </c>
    </row>
    <row r="41" spans="1:4" x14ac:dyDescent="0.2">
      <c r="A41" s="17" t="s">
        <v>96</v>
      </c>
      <c r="B41" s="20">
        <v>42360</v>
      </c>
      <c r="C41" s="20">
        <v>32891</v>
      </c>
      <c r="D41" s="20">
        <v>24542</v>
      </c>
    </row>
    <row r="42" spans="1:4" x14ac:dyDescent="0.2">
      <c r="A42" t="s">
        <v>97</v>
      </c>
      <c r="B42" s="23">
        <f>SUM(B38:B41)</f>
        <v>146791</v>
      </c>
      <c r="C42" s="23">
        <f t="shared" ref="C42:D42" si="8">SUM(C38:C41)</f>
        <v>161580</v>
      </c>
      <c r="D42" s="23">
        <f t="shared" si="8"/>
        <v>132733</v>
      </c>
    </row>
    <row r="43" spans="1:4" x14ac:dyDescent="0.2">
      <c r="A43" t="s">
        <v>89</v>
      </c>
      <c r="B43" s="20">
        <v>186715</v>
      </c>
      <c r="C43" s="20">
        <v>160281</v>
      </c>
      <c r="D43" s="20">
        <v>113114</v>
      </c>
    </row>
    <row r="44" spans="1:4" x14ac:dyDescent="0.2">
      <c r="A44" t="s">
        <v>90</v>
      </c>
      <c r="B44" s="20">
        <v>66123</v>
      </c>
      <c r="C44" s="20">
        <v>56082</v>
      </c>
      <c r="D44" s="20">
        <v>37553</v>
      </c>
    </row>
    <row r="45" spans="1:4" x14ac:dyDescent="0.2">
      <c r="A45" t="s">
        <v>91</v>
      </c>
      <c r="B45" s="20">
        <v>20288</v>
      </c>
      <c r="C45" s="20">
        <v>15371</v>
      </c>
      <c r="D45" s="20">
        <v>15017</v>
      </c>
    </row>
    <row r="46" spans="1:4" x14ac:dyDescent="0.2">
      <c r="A46" t="s">
        <v>92</v>
      </c>
      <c r="B46" s="20">
        <v>42758</v>
      </c>
      <c r="C46" s="20">
        <v>27235</v>
      </c>
      <c r="D46" s="20">
        <v>22778</v>
      </c>
    </row>
    <row r="47" spans="1:4" ht="16" thickBot="1" x14ac:dyDescent="0.25">
      <c r="A47" s="19" t="s">
        <v>98</v>
      </c>
      <c r="B47" s="24">
        <f>SUM(B42:B46)</f>
        <v>462675</v>
      </c>
      <c r="C47" s="24">
        <f t="shared" ref="C47:D47" si="9">SUM(C42:C46)</f>
        <v>420549</v>
      </c>
      <c r="D47" s="24">
        <f t="shared" si="9"/>
        <v>321195</v>
      </c>
    </row>
    <row r="48" spans="1:4" ht="16" thickTop="1" x14ac:dyDescent="0.2">
      <c r="A48" s="26" t="s">
        <v>99</v>
      </c>
    </row>
    <row r="49" spans="1:9" x14ac:dyDescent="0.2">
      <c r="A49" t="s">
        <v>100</v>
      </c>
    </row>
    <row r="50" spans="1:9" ht="16" thickBot="1" x14ac:dyDescent="0.25">
      <c r="A50" t="s">
        <v>106</v>
      </c>
      <c r="B50" s="20">
        <v>79600</v>
      </c>
      <c r="C50" s="20">
        <v>78664</v>
      </c>
      <c r="D50" s="20">
        <v>72539</v>
      </c>
    </row>
    <row r="51" spans="1:9" x14ac:dyDescent="0.2">
      <c r="A51" t="s">
        <v>107</v>
      </c>
      <c r="B51" s="20">
        <v>62566</v>
      </c>
      <c r="C51" s="20">
        <v>51775</v>
      </c>
      <c r="D51" s="20">
        <v>44138</v>
      </c>
      <c r="F51" s="29" t="s">
        <v>146</v>
      </c>
      <c r="G51" s="30" t="s">
        <v>149</v>
      </c>
      <c r="H51" s="31"/>
      <c r="I51" s="32"/>
    </row>
    <row r="52" spans="1:9" x14ac:dyDescent="0.2">
      <c r="A52" s="17" t="s">
        <v>108</v>
      </c>
      <c r="B52" s="20">
        <v>13227</v>
      </c>
      <c r="C52" s="20">
        <v>11827</v>
      </c>
      <c r="D52" s="20">
        <v>9708</v>
      </c>
      <c r="F52" s="33"/>
      <c r="G52" s="9">
        <v>2022</v>
      </c>
      <c r="H52" s="9">
        <v>2021</v>
      </c>
      <c r="I52" s="34">
        <v>2020</v>
      </c>
    </row>
    <row r="53" spans="1:9" x14ac:dyDescent="0.2">
      <c r="A53" t="s">
        <v>109</v>
      </c>
      <c r="B53" s="23">
        <f>SUM(B50:B52)</f>
        <v>155393</v>
      </c>
      <c r="C53" s="23">
        <f t="shared" ref="C53:D53" si="10">SUM(C50:C52)</f>
        <v>142266</v>
      </c>
      <c r="D53" s="23">
        <f t="shared" si="10"/>
        <v>126385</v>
      </c>
      <c r="F53" s="33" t="s">
        <v>147</v>
      </c>
      <c r="G53" s="35">
        <v>7700</v>
      </c>
      <c r="H53" s="35">
        <v>7400</v>
      </c>
      <c r="I53" s="36">
        <v>7600</v>
      </c>
    </row>
    <row r="54" spans="1:9" ht="16" thickBot="1" x14ac:dyDescent="0.25">
      <c r="A54" t="s">
        <v>101</v>
      </c>
      <c r="B54" s="20">
        <v>72968</v>
      </c>
      <c r="C54" s="20">
        <v>67651</v>
      </c>
      <c r="D54" s="20">
        <v>52573</v>
      </c>
      <c r="F54" s="37" t="s">
        <v>148</v>
      </c>
      <c r="G54" s="38">
        <v>5400</v>
      </c>
      <c r="H54" s="38">
        <v>5200</v>
      </c>
      <c r="I54" s="39">
        <v>4700</v>
      </c>
    </row>
    <row r="55" spans="1:9" x14ac:dyDescent="0.2">
      <c r="A55" t="s">
        <v>102</v>
      </c>
      <c r="B55" s="20">
        <v>67150</v>
      </c>
      <c r="C55" s="20">
        <v>48744</v>
      </c>
      <c r="D55" s="20">
        <v>31816</v>
      </c>
    </row>
    <row r="56" spans="1:9" x14ac:dyDescent="0.2">
      <c r="A56" t="s">
        <v>103</v>
      </c>
      <c r="B56" s="20">
        <v>21121</v>
      </c>
      <c r="C56" s="20">
        <v>23643</v>
      </c>
      <c r="D56" s="20">
        <v>17017</v>
      </c>
    </row>
    <row r="57" spans="1:9" x14ac:dyDescent="0.2">
      <c r="A57" t="s">
        <v>104</v>
      </c>
      <c r="B57" s="10"/>
      <c r="C57" s="10"/>
      <c r="D57" s="10"/>
    </row>
    <row r="58" spans="1:9" x14ac:dyDescent="0.2">
      <c r="A58" t="s">
        <v>105</v>
      </c>
      <c r="B58" s="10"/>
      <c r="C58" s="10"/>
      <c r="D58" s="10"/>
    </row>
    <row r="59" spans="1:9" x14ac:dyDescent="0.2">
      <c r="A59" t="s">
        <v>110</v>
      </c>
      <c r="B59" s="20">
        <v>0</v>
      </c>
      <c r="C59" s="20">
        <v>0</v>
      </c>
      <c r="D59" s="20">
        <v>0</v>
      </c>
    </row>
    <row r="60" spans="1:9" x14ac:dyDescent="0.2">
      <c r="A60" t="s">
        <v>111</v>
      </c>
      <c r="B60" s="20">
        <v>108</v>
      </c>
      <c r="C60" s="20">
        <v>106</v>
      </c>
      <c r="D60" s="20">
        <v>5</v>
      </c>
    </row>
    <row r="61" spans="1:9" x14ac:dyDescent="0.2">
      <c r="A61" t="s">
        <v>112</v>
      </c>
      <c r="B61" s="20">
        <v>-7837</v>
      </c>
      <c r="C61" s="20">
        <v>-1837</v>
      </c>
      <c r="D61" s="20">
        <v>-1837</v>
      </c>
    </row>
    <row r="62" spans="1:9" x14ac:dyDescent="0.2">
      <c r="A62" t="s">
        <v>113</v>
      </c>
      <c r="B62" s="20">
        <v>75066</v>
      </c>
      <c r="C62" s="20">
        <v>55437</v>
      </c>
      <c r="D62" s="20">
        <v>42865</v>
      </c>
    </row>
    <row r="63" spans="1:9" x14ac:dyDescent="0.2">
      <c r="A63" t="s">
        <v>114</v>
      </c>
      <c r="B63" s="20">
        <v>-4487</v>
      </c>
      <c r="C63" s="20">
        <v>-1376</v>
      </c>
      <c r="D63" s="20">
        <v>-180</v>
      </c>
    </row>
    <row r="64" spans="1:9" x14ac:dyDescent="0.2">
      <c r="A64" s="17" t="s">
        <v>115</v>
      </c>
      <c r="B64" s="20">
        <v>83193</v>
      </c>
      <c r="C64" s="20">
        <v>85915</v>
      </c>
      <c r="D64" s="20">
        <v>52551</v>
      </c>
    </row>
    <row r="65" spans="1:4" x14ac:dyDescent="0.2">
      <c r="A65" t="s">
        <v>116</v>
      </c>
      <c r="B65" s="23">
        <f t="array" ref="B65">SUM(B59:B64)</f>
        <v>146043</v>
      </c>
      <c r="C65" s="23">
        <f t="array" ref="C65">SUM(C59:C64)</f>
        <v>138245</v>
      </c>
      <c r="D65" s="23">
        <f t="array" ref="D65">SUM(D59:D64)</f>
        <v>93404</v>
      </c>
    </row>
    <row r="66" spans="1:4" ht="16" thickBot="1" x14ac:dyDescent="0.25">
      <c r="A66" s="19" t="s">
        <v>117</v>
      </c>
      <c r="B66" s="24">
        <f>SUM(B53:B56,B65)</f>
        <v>462675</v>
      </c>
      <c r="C66" s="24">
        <f t="shared" ref="C66:D66" si="11">SUM(C53:C56,C65)</f>
        <v>420549</v>
      </c>
      <c r="D66" s="24">
        <f t="shared" si="11"/>
        <v>321195</v>
      </c>
    </row>
    <row r="67" spans="1:4" ht="16" thickTop="1" x14ac:dyDescent="0.2"/>
    <row r="68" spans="1:4" x14ac:dyDescent="0.2">
      <c r="A68" s="48" t="s">
        <v>12</v>
      </c>
      <c r="B68" s="48"/>
      <c r="C68" s="48"/>
      <c r="D68" s="48"/>
    </row>
    <row r="69" spans="1:4" x14ac:dyDescent="0.2">
      <c r="B69" s="47" t="s">
        <v>58</v>
      </c>
      <c r="C69" s="47"/>
      <c r="D69" s="47"/>
    </row>
    <row r="70" spans="1:4" x14ac:dyDescent="0.2">
      <c r="B70" s="9">
        <v>2022</v>
      </c>
      <c r="C70" s="9">
        <v>2021</v>
      </c>
      <c r="D70" s="9">
        <v>2020</v>
      </c>
    </row>
    <row r="71" spans="1:4" x14ac:dyDescent="0.2">
      <c r="A71" t="s">
        <v>118</v>
      </c>
      <c r="B71" s="20">
        <v>36477</v>
      </c>
      <c r="C71" s="20">
        <v>42377</v>
      </c>
      <c r="D71" s="20">
        <v>36410</v>
      </c>
    </row>
    <row r="72" spans="1:4" x14ac:dyDescent="0.2">
      <c r="A72" t="s">
        <v>119</v>
      </c>
      <c r="B72" s="20"/>
      <c r="C72" s="20"/>
      <c r="D72" s="20"/>
    </row>
    <row r="73" spans="1:4" x14ac:dyDescent="0.2">
      <c r="A73" t="s">
        <v>77</v>
      </c>
      <c r="B73" s="20">
        <v>-2722</v>
      </c>
      <c r="C73" s="20">
        <v>33364</v>
      </c>
      <c r="D73" s="20">
        <v>21331</v>
      </c>
    </row>
    <row r="74" spans="1:4" x14ac:dyDescent="0.2">
      <c r="A74" t="s">
        <v>120</v>
      </c>
      <c r="B74" s="20"/>
      <c r="C74" s="20"/>
      <c r="D74" s="20"/>
    </row>
    <row r="75" spans="1:4" x14ac:dyDescent="0.2">
      <c r="A75" t="s">
        <v>139</v>
      </c>
      <c r="B75" s="20">
        <v>41921</v>
      </c>
      <c r="C75" s="20">
        <v>34433</v>
      </c>
      <c r="D75" s="20">
        <v>25180</v>
      </c>
    </row>
    <row r="76" spans="1:4" x14ac:dyDescent="0.2">
      <c r="A76" t="s">
        <v>140</v>
      </c>
      <c r="B76" s="20">
        <v>19621</v>
      </c>
      <c r="C76" s="20">
        <v>12757</v>
      </c>
      <c r="D76" s="20">
        <v>9208</v>
      </c>
    </row>
    <row r="77" spans="1:4" x14ac:dyDescent="0.2">
      <c r="A77" t="s">
        <v>141</v>
      </c>
      <c r="B77" s="20">
        <v>16966</v>
      </c>
      <c r="C77" s="20">
        <v>-14306</v>
      </c>
      <c r="D77" s="20">
        <v>-2582</v>
      </c>
    </row>
    <row r="78" spans="1:4" x14ac:dyDescent="0.2">
      <c r="A78" t="s">
        <v>142</v>
      </c>
      <c r="B78" s="20">
        <v>-8148</v>
      </c>
      <c r="C78" s="20">
        <v>-310</v>
      </c>
      <c r="D78" s="20">
        <v>-554</v>
      </c>
    </row>
    <row r="79" spans="1:4" x14ac:dyDescent="0.2">
      <c r="A79" t="s">
        <v>121</v>
      </c>
      <c r="B79" s="20"/>
      <c r="C79" s="20"/>
      <c r="D79" s="20"/>
    </row>
    <row r="80" spans="1:4" x14ac:dyDescent="0.2">
      <c r="A80" t="s">
        <v>95</v>
      </c>
      <c r="B80" s="20">
        <v>-2592</v>
      </c>
      <c r="C80" s="20">
        <v>-9487</v>
      </c>
      <c r="D80" s="20">
        <v>-2849</v>
      </c>
    </row>
    <row r="81" spans="1:4" x14ac:dyDescent="0.2">
      <c r="A81" t="s">
        <v>96</v>
      </c>
      <c r="B81" s="20">
        <v>-21897</v>
      </c>
      <c r="C81" s="20">
        <v>-18163</v>
      </c>
      <c r="D81" s="20">
        <v>-8169</v>
      </c>
    </row>
    <row r="82" spans="1:4" x14ac:dyDescent="0.2">
      <c r="A82" t="s">
        <v>106</v>
      </c>
      <c r="B82" s="20">
        <v>2945</v>
      </c>
      <c r="C82" s="20">
        <v>3602</v>
      </c>
      <c r="D82" s="20">
        <v>17480</v>
      </c>
    </row>
    <row r="83" spans="1:4" x14ac:dyDescent="0.2">
      <c r="A83" t="s">
        <v>107</v>
      </c>
      <c r="B83" s="20">
        <v>-1558</v>
      </c>
      <c r="C83" s="20">
        <v>2123</v>
      </c>
      <c r="D83" s="20">
        <v>5754</v>
      </c>
    </row>
    <row r="84" spans="1:4" x14ac:dyDescent="0.2">
      <c r="A84" s="17" t="s">
        <v>108</v>
      </c>
      <c r="B84" s="20">
        <v>2216</v>
      </c>
      <c r="C84" s="20">
        <v>2314</v>
      </c>
      <c r="D84" s="20">
        <v>1265</v>
      </c>
    </row>
    <row r="85" spans="1:4" x14ac:dyDescent="0.2">
      <c r="A85" t="s">
        <v>143</v>
      </c>
      <c r="B85" s="23">
        <f>SUM(B73:B84)</f>
        <v>46752</v>
      </c>
      <c r="C85" s="23">
        <f t="shared" ref="C85:D85" si="12">SUM(C73:C84)</f>
        <v>46327</v>
      </c>
      <c r="D85" s="23">
        <f t="shared" si="12"/>
        <v>66064</v>
      </c>
    </row>
    <row r="86" spans="1:4" x14ac:dyDescent="0.2">
      <c r="A86" t="s">
        <v>122</v>
      </c>
      <c r="B86" s="10"/>
      <c r="C86" s="10"/>
      <c r="D86" s="10"/>
    </row>
    <row r="87" spans="1:4" x14ac:dyDescent="0.2">
      <c r="A87" t="s">
        <v>123</v>
      </c>
      <c r="B87" s="20">
        <v>-63645</v>
      </c>
      <c r="C87" s="20">
        <v>-61053</v>
      </c>
      <c r="D87" s="20">
        <v>-40140</v>
      </c>
    </row>
    <row r="88" spans="1:4" x14ac:dyDescent="0.2">
      <c r="A88" t="s">
        <v>124</v>
      </c>
      <c r="B88" s="20">
        <v>5324</v>
      </c>
      <c r="C88" s="20">
        <v>5657</v>
      </c>
      <c r="D88" s="20">
        <v>5096</v>
      </c>
    </row>
    <row r="89" spans="1:4" x14ac:dyDescent="0.2">
      <c r="A89" t="s">
        <v>125</v>
      </c>
      <c r="B89" s="20">
        <v>-8316</v>
      </c>
      <c r="C89" s="20">
        <v>-1985</v>
      </c>
      <c r="D89" s="20">
        <v>-2325</v>
      </c>
    </row>
    <row r="90" spans="1:4" x14ac:dyDescent="0.2">
      <c r="A90" t="s">
        <v>126</v>
      </c>
      <c r="B90" s="20">
        <v>31601</v>
      </c>
      <c r="C90" s="20">
        <v>59384</v>
      </c>
      <c r="D90" s="20">
        <v>50237</v>
      </c>
    </row>
    <row r="91" spans="1:4" x14ac:dyDescent="0.2">
      <c r="A91" s="17" t="s">
        <v>127</v>
      </c>
      <c r="B91" s="20">
        <v>-2565</v>
      </c>
      <c r="C91" s="20">
        <v>-60157</v>
      </c>
      <c r="D91" s="20">
        <v>-72479</v>
      </c>
    </row>
    <row r="92" spans="1:4" x14ac:dyDescent="0.2">
      <c r="A92" t="s">
        <v>144</v>
      </c>
      <c r="B92" s="23">
        <f>SUM(B87:B91)</f>
        <v>-37601</v>
      </c>
      <c r="C92" s="23">
        <f t="shared" ref="C92:D92" si="13">SUM(C87:C91)</f>
        <v>-58154</v>
      </c>
      <c r="D92" s="23">
        <f t="shared" si="13"/>
        <v>-59611</v>
      </c>
    </row>
    <row r="93" spans="1:4" x14ac:dyDescent="0.2">
      <c r="A93" t="s">
        <v>128</v>
      </c>
      <c r="B93" s="10"/>
      <c r="C93" s="10"/>
      <c r="D93" s="10"/>
    </row>
    <row r="94" spans="1:4" x14ac:dyDescent="0.2">
      <c r="A94" t="s">
        <v>129</v>
      </c>
      <c r="B94" s="20">
        <v>-6000</v>
      </c>
      <c r="C94" s="20">
        <v>0</v>
      </c>
      <c r="D94" s="20">
        <v>0</v>
      </c>
    </row>
    <row r="95" spans="1:4" x14ac:dyDescent="0.2">
      <c r="A95" t="s">
        <v>130</v>
      </c>
      <c r="B95" s="20">
        <v>41553</v>
      </c>
      <c r="C95" s="20">
        <v>7956</v>
      </c>
      <c r="D95" s="20">
        <v>6796</v>
      </c>
    </row>
    <row r="96" spans="1:4" x14ac:dyDescent="0.2">
      <c r="A96" t="s">
        <v>131</v>
      </c>
      <c r="B96" s="20">
        <v>-37554</v>
      </c>
      <c r="C96" s="20">
        <v>-7753</v>
      </c>
      <c r="D96" s="20">
        <v>-6177</v>
      </c>
    </row>
    <row r="97" spans="1:4" x14ac:dyDescent="0.2">
      <c r="A97" t="s">
        <v>132</v>
      </c>
      <c r="B97" s="20">
        <v>21166</v>
      </c>
      <c r="C97" s="20">
        <v>19003</v>
      </c>
      <c r="D97" s="20">
        <v>10525</v>
      </c>
    </row>
    <row r="98" spans="1:4" x14ac:dyDescent="0.2">
      <c r="A98" t="s">
        <v>133</v>
      </c>
      <c r="B98" s="20">
        <v>-1258</v>
      </c>
      <c r="C98" s="20">
        <v>-1590</v>
      </c>
      <c r="D98" s="20">
        <v>-1553</v>
      </c>
    </row>
    <row r="99" spans="1:4" x14ac:dyDescent="0.2">
      <c r="A99" t="s">
        <v>134</v>
      </c>
      <c r="B99" s="20">
        <v>-7941</v>
      </c>
      <c r="C99" s="20">
        <v>-11163</v>
      </c>
      <c r="D99" s="20">
        <v>-10642</v>
      </c>
    </row>
    <row r="100" spans="1:4" x14ac:dyDescent="0.2">
      <c r="A100" s="17" t="s">
        <v>135</v>
      </c>
      <c r="B100" s="21">
        <v>-248</v>
      </c>
      <c r="C100" s="21">
        <v>-162</v>
      </c>
      <c r="D100" s="21">
        <v>-53</v>
      </c>
    </row>
    <row r="101" spans="1:4" x14ac:dyDescent="0.2">
      <c r="A101" t="s">
        <v>145</v>
      </c>
      <c r="B101" s="27">
        <f>SUM(B94:B100)</f>
        <v>9718</v>
      </c>
      <c r="C101" s="27">
        <f t="shared" ref="C101:D101" si="14">SUM(C94:C100)</f>
        <v>6291</v>
      </c>
      <c r="D101" s="27">
        <f t="shared" si="14"/>
        <v>-1104</v>
      </c>
    </row>
    <row r="102" spans="1:4" x14ac:dyDescent="0.2">
      <c r="A102" s="17" t="s">
        <v>136</v>
      </c>
      <c r="B102" s="21">
        <v>-1093</v>
      </c>
      <c r="C102" s="21">
        <v>-364</v>
      </c>
      <c r="D102" s="21">
        <v>618</v>
      </c>
    </row>
    <row r="103" spans="1:4" x14ac:dyDescent="0.2">
      <c r="A103" t="s">
        <v>137</v>
      </c>
      <c r="B103" s="23">
        <f>SUM(B85,B92,B101:B102)</f>
        <v>17776</v>
      </c>
      <c r="C103" s="23">
        <f t="shared" ref="C103:D103" si="15">SUM(C85,C92,C101:C102)</f>
        <v>-5900</v>
      </c>
      <c r="D103" s="23">
        <f t="shared" si="15"/>
        <v>5967</v>
      </c>
    </row>
    <row r="104" spans="1:4" ht="16" thickBot="1" x14ac:dyDescent="0.25">
      <c r="A104" s="19" t="s">
        <v>138</v>
      </c>
      <c r="B104" s="24">
        <f>B71+B103</f>
        <v>54253</v>
      </c>
      <c r="C104" s="24">
        <f t="shared" ref="C104:D104" si="16">C71+C103</f>
        <v>36477</v>
      </c>
      <c r="D104" s="24">
        <f t="shared" si="16"/>
        <v>42377</v>
      </c>
    </row>
    <row r="105" spans="1:4" ht="16" thickTop="1" x14ac:dyDescent="0.2">
      <c r="B105" s="10"/>
      <c r="C105" s="10"/>
      <c r="D105" s="10"/>
    </row>
    <row r="106" spans="1:4" x14ac:dyDescent="0.2">
      <c r="B106" s="10"/>
      <c r="C106" s="10"/>
      <c r="D106" s="10"/>
    </row>
    <row r="107" spans="1:4" x14ac:dyDescent="0.2">
      <c r="B107" s="10"/>
      <c r="C107" s="10"/>
      <c r="D107" s="10"/>
    </row>
    <row r="108" spans="1:4" x14ac:dyDescent="0.2">
      <c r="B108" s="10"/>
      <c r="C108" s="10"/>
      <c r="D108" s="10"/>
    </row>
  </sheetData>
  <mergeCells count="6">
    <mergeCell ref="B69:D69"/>
    <mergeCell ref="A2:D2"/>
    <mergeCell ref="B3:D3"/>
    <mergeCell ref="A33:D33"/>
    <mergeCell ref="B34:D34"/>
    <mergeCell ref="A68:D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5" workbookViewId="0">
      <selection activeCell="C29" sqref="C2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1.1640625" bestFit="1" customWidth="1"/>
    <col min="4" max="5" width="10.1640625" bestFit="1" customWidth="1"/>
  </cols>
  <sheetData>
    <row r="1" spans="1:10" ht="60" customHeight="1" x14ac:dyDescent="0.2">
      <c r="A1" s="7"/>
      <c r="B1" s="7" t="s">
        <v>85</v>
      </c>
      <c r="C1" s="13"/>
      <c r="D1" s="13"/>
      <c r="E1" s="13"/>
      <c r="F1" s="13"/>
      <c r="G1" s="13"/>
      <c r="H1" s="13"/>
      <c r="I1" s="13"/>
      <c r="J1" s="13"/>
    </row>
    <row r="2" spans="1:10" x14ac:dyDescent="0.2">
      <c r="C2" s="47" t="s">
        <v>58</v>
      </c>
      <c r="D2" s="47"/>
      <c r="E2" s="47"/>
    </row>
    <row r="3" spans="1:10" x14ac:dyDescent="0.2">
      <c r="C3" s="9">
        <v>2022</v>
      </c>
      <c r="D3" s="9">
        <v>2021</v>
      </c>
      <c r="E3" s="9">
        <v>2020</v>
      </c>
    </row>
    <row r="4" spans="1:10" x14ac:dyDescent="0.2">
      <c r="A4" s="14">
        <v>1</v>
      </c>
      <c r="B4" s="9" t="s">
        <v>13</v>
      </c>
    </row>
    <row r="5" spans="1:10" x14ac:dyDescent="0.2">
      <c r="A5" s="14">
        <f>+A4+0.1</f>
        <v>1.1000000000000001</v>
      </c>
      <c r="B5" s="1" t="s">
        <v>14</v>
      </c>
      <c r="C5" s="25">
        <f>'Financial Statements'!B42/'Financial Statements'!B53</f>
        <v>0.9446435811136924</v>
      </c>
      <c r="D5" s="25">
        <f>'Financial Statements'!C42/'Financial Statements'!C53</f>
        <v>1.1357597739445826</v>
      </c>
      <c r="E5" s="25">
        <f>'Financial Statements'!D42/'Financial Statements'!D53</f>
        <v>1.0502274795268425</v>
      </c>
    </row>
    <row r="6" spans="1:10" x14ac:dyDescent="0.2">
      <c r="A6" s="14">
        <f t="shared" ref="A6:A13" si="0">+A5+0.1</f>
        <v>1.2000000000000002</v>
      </c>
      <c r="B6" s="1" t="s">
        <v>15</v>
      </c>
      <c r="C6" s="25">
        <f>SUM('Financial Statements'!B38:B39,'Financial Statements'!B41)/'Financial Statements'!B53</f>
        <v>0.72323721145740161</v>
      </c>
      <c r="D6" s="25">
        <f>SUM('Financial Statements'!C38:C39,'Financial Statements'!C41)/'Financial Statements'!C53</f>
        <v>0.90633039517523517</v>
      </c>
      <c r="E6" s="25">
        <f>SUM('Financial Statements'!D38:D39,'Financial Statements'!D41)/'Financial Statements'!D53</f>
        <v>0.86195355461486722</v>
      </c>
    </row>
    <row r="7" spans="1:10" x14ac:dyDescent="0.2">
      <c r="A7" s="14">
        <f t="shared" si="0"/>
        <v>1.3000000000000003</v>
      </c>
      <c r="B7" s="1" t="s">
        <v>16</v>
      </c>
      <c r="C7" s="25">
        <f>'Financial Statements'!B38/'Financial Statements'!B53</f>
        <v>0.34678524772673158</v>
      </c>
      <c r="D7" s="25">
        <f>'Financial Statements'!C38/'Financial Statements'!C53</f>
        <v>0.25459350793583851</v>
      </c>
      <c r="E7" s="25">
        <f>'Financial Statements'!D38/'Financial Statements'!D53</f>
        <v>0.33328322190133325</v>
      </c>
    </row>
    <row r="8" spans="1:10" x14ac:dyDescent="0.2">
      <c r="A8" s="14">
        <f t="shared" si="0"/>
        <v>1.4000000000000004</v>
      </c>
      <c r="B8" s="1" t="s">
        <v>17</v>
      </c>
      <c r="C8" s="25">
        <f>SUM('Financial Statements'!B38:B39,'Financial Statements'!B41)/(('Financial Statements'!B15-'Financial Statements'!B75-'Financial Statements'!B76)/365)</f>
        <v>93.188419625028104</v>
      </c>
      <c r="D8" s="25">
        <f>SUM('Financial Statements'!C38:C39,'Financial Statements'!C41)/(('Financial Statements'!C15-'Financial Statements'!C75-'Financial Statements'!C76)/365)</f>
        <v>118.32242622934334</v>
      </c>
      <c r="E8" s="25">
        <f>SUM('Financial Statements'!D38:D39,'Financial Statements'!D41)/(('Financial Statements'!D15-'Financial Statements'!D75-'Financial Statements'!D76)/365)</f>
        <v>120.94024217022481</v>
      </c>
    </row>
    <row r="9" spans="1:10" x14ac:dyDescent="0.2">
      <c r="A9" s="14">
        <f t="shared" si="0"/>
        <v>1.5000000000000004</v>
      </c>
      <c r="B9" s="1" t="s">
        <v>18</v>
      </c>
      <c r="C9" s="25">
        <f>'Financial Statements'!B40/'Financial Statements'!B9*365</f>
        <v>43.4781065744328</v>
      </c>
      <c r="D9" s="25">
        <f>'Financial Statements'!C40/'Financial Statements'!C9*365</f>
        <v>43.744675851129458</v>
      </c>
      <c r="E9" s="25">
        <f>'Financial Statements'!D40/'Financial Statements'!D9*365</f>
        <v>37.226379834295585</v>
      </c>
    </row>
    <row r="10" spans="1:10" x14ac:dyDescent="0.2">
      <c r="A10" s="14">
        <f t="shared" si="0"/>
        <v>1.6000000000000005</v>
      </c>
      <c r="B10" s="1" t="s">
        <v>19</v>
      </c>
      <c r="C10" s="25">
        <f>'Financial Statements'!B50/'Financial Statements'!B9*365</f>
        <v>100.59169548975007</v>
      </c>
      <c r="D10" s="25">
        <f>'Financial Statements'!C50/'Financial Statements'!C9*365</f>
        <v>105.42681314807743</v>
      </c>
      <c r="E10" s="25">
        <f>'Financial Statements'!D50/'Financial Statements'!D9*365</f>
        <v>113.48452896826929</v>
      </c>
    </row>
    <row r="11" spans="1:10" x14ac:dyDescent="0.2">
      <c r="A11" s="14">
        <f t="shared" si="0"/>
        <v>1.7000000000000006</v>
      </c>
      <c r="B11" s="1" t="s">
        <v>20</v>
      </c>
      <c r="C11" s="25">
        <f>'Financial Statements'!B41/'Financial Statements'!B7*365</f>
        <v>30.081539661817608</v>
      </c>
      <c r="D11" s="25">
        <f>'Financial Statements'!C41/'Financial Statements'!C7*365</f>
        <v>25.552688039299991</v>
      </c>
      <c r="E11" s="25">
        <f>'Financial Statements'!D41/'Financial Statements'!D7*365</f>
        <v>23.202966347548593</v>
      </c>
    </row>
    <row r="12" spans="1:10" x14ac:dyDescent="0.2">
      <c r="A12" s="14">
        <f t="shared" si="0"/>
        <v>1.8000000000000007</v>
      </c>
      <c r="B12" s="1" t="s">
        <v>21</v>
      </c>
      <c r="C12" s="25">
        <f>C9+C11-C10</f>
        <v>-27.03204925349965</v>
      </c>
      <c r="D12" s="25">
        <f t="shared" ref="D12:E12" si="1">D9+D11-D10</f>
        <v>-36.129449257647977</v>
      </c>
      <c r="E12" s="25">
        <f t="shared" si="1"/>
        <v>-53.055182786425107</v>
      </c>
    </row>
    <row r="13" spans="1:10" x14ac:dyDescent="0.2">
      <c r="A13" s="14">
        <f t="shared" si="0"/>
        <v>1.9000000000000008</v>
      </c>
      <c r="B13" s="1" t="s">
        <v>22</v>
      </c>
      <c r="C13" s="28">
        <f>C14/'Financial Statements'!B7</f>
        <v>-1.6735962084349094E-2</v>
      </c>
      <c r="D13" s="28">
        <f>D14/'Financial Statements'!C7</f>
        <v>4.1109186032156859E-2</v>
      </c>
      <c r="E13" s="28">
        <f>E14/'Financial Statements'!D7</f>
        <v>1.6442869576028845E-2</v>
      </c>
    </row>
    <row r="14" spans="1:10" x14ac:dyDescent="0.2">
      <c r="A14" s="14"/>
      <c r="B14" s="12" t="s">
        <v>23</v>
      </c>
      <c r="C14" s="10">
        <f>'Financial Statements'!B42-'Financial Statements'!B53</f>
        <v>-8602</v>
      </c>
      <c r="D14" s="10">
        <f>'Financial Statements'!C42-'Financial Statements'!C53</f>
        <v>19314</v>
      </c>
      <c r="E14" s="10">
        <f>'Financial Statements'!D42-'Financial Statements'!D53</f>
        <v>6348</v>
      </c>
    </row>
    <row r="15" spans="1:10" x14ac:dyDescent="0.2">
      <c r="A15" s="14"/>
    </row>
    <row r="16" spans="1:10" x14ac:dyDescent="0.2">
      <c r="A16" s="14">
        <f>+A4+1</f>
        <v>2</v>
      </c>
      <c r="B16" s="15" t="s">
        <v>24</v>
      </c>
    </row>
    <row r="17" spans="1:5" x14ac:dyDescent="0.2">
      <c r="A17" s="14">
        <f>+A16+0.1</f>
        <v>2.1</v>
      </c>
      <c r="B17" s="1" t="s">
        <v>10</v>
      </c>
      <c r="C17" s="28">
        <f>('Financial Statements'!B7-'Financial Statements'!B9)/'Financial Statements'!B7</f>
        <v>0.43805339865326287</v>
      </c>
      <c r="D17" s="28">
        <f>('Financial Statements'!C7-'Financial Statements'!C9)/'Financial Statements'!C7</f>
        <v>0.42032514441639601</v>
      </c>
      <c r="E17" s="28">
        <f>('Financial Statements'!D7-'Financial Statements'!D9)/'Financial Statements'!D7</f>
        <v>0.3956779186870571</v>
      </c>
    </row>
    <row r="18" spans="1:5" x14ac:dyDescent="0.2">
      <c r="A18" s="14">
        <f>+A17+0.1</f>
        <v>2.2000000000000002</v>
      </c>
      <c r="B18" s="1" t="s">
        <v>25</v>
      </c>
      <c r="C18" s="28">
        <f>C19/'Financial Statements'!B7</f>
        <v>0.10539064521589235</v>
      </c>
      <c r="D18" s="28">
        <f>D19/'Financial Statements'!C7</f>
        <v>0.12624355607017126</v>
      </c>
      <c r="E18" s="28">
        <f>E19/'Financial Statements'!D7</f>
        <v>0.12453634630527581</v>
      </c>
    </row>
    <row r="19" spans="1:5" x14ac:dyDescent="0.2">
      <c r="A19" s="14"/>
      <c r="B19" s="12" t="s">
        <v>26</v>
      </c>
      <c r="C19" s="10">
        <f>'Financial Statements'!B16+'Financial Statements'!B75</f>
        <v>54169</v>
      </c>
      <c r="D19" s="10">
        <f>'Financial Statements'!C16+'Financial Statements'!C75</f>
        <v>59312</v>
      </c>
      <c r="E19" s="10">
        <f>'Financial Statements'!D16+'Financial Statements'!D75</f>
        <v>48079</v>
      </c>
    </row>
    <row r="20" spans="1:5" x14ac:dyDescent="0.2">
      <c r="A20" s="14">
        <f>+A18+0.1</f>
        <v>2.3000000000000003</v>
      </c>
      <c r="B20" s="1" t="s">
        <v>27</v>
      </c>
      <c r="C20" s="28">
        <f>C21/'Financial Statements'!B7</f>
        <v>2.3829581912242232E-2</v>
      </c>
      <c r="D20" s="28">
        <f>D21/'Financial Statements'!C7</f>
        <v>5.2954097509269465E-2</v>
      </c>
      <c r="E20" s="28">
        <f>E21/'Financial Statements'!D7</f>
        <v>5.9313999751336569E-2</v>
      </c>
    </row>
    <row r="21" spans="1:5" x14ac:dyDescent="0.2">
      <c r="A21" s="14"/>
      <c r="B21" s="12" t="s">
        <v>28</v>
      </c>
      <c r="C21" s="10">
        <f>'Financial Statements'!B16</f>
        <v>12248</v>
      </c>
      <c r="D21" s="10">
        <f>'Financial Statements'!C16</f>
        <v>24879</v>
      </c>
      <c r="E21" s="10">
        <f>'Financial Statements'!D16</f>
        <v>22899</v>
      </c>
    </row>
    <row r="22" spans="1:5" x14ac:dyDescent="0.2">
      <c r="A22" s="14">
        <f>+A20+0.1</f>
        <v>2.4000000000000004</v>
      </c>
      <c r="B22" s="1" t="s">
        <v>29</v>
      </c>
      <c r="C22" s="28">
        <f>'Financial Statements'!B24/'Financial Statements'!B7</f>
        <v>-5.2958950004183018E-3</v>
      </c>
      <c r="D22" s="28">
        <f>'Financial Statements'!C24/'Financial Statements'!C7</f>
        <v>7.1014128755145567E-2</v>
      </c>
      <c r="E22" s="28">
        <f>'Financial Statements'!D24/'Financial Statements'!D7</f>
        <v>5.5252496995316841E-2</v>
      </c>
    </row>
    <row r="23" spans="1:5" x14ac:dyDescent="0.2">
      <c r="A23" s="14"/>
    </row>
    <row r="24" spans="1:5" x14ac:dyDescent="0.2">
      <c r="A24" s="14">
        <f>+A16+1</f>
        <v>3</v>
      </c>
      <c r="B24" s="9" t="s">
        <v>30</v>
      </c>
    </row>
    <row r="25" spans="1:5" x14ac:dyDescent="0.2">
      <c r="A25" s="14">
        <f>+A24+0.1</f>
        <v>3.1</v>
      </c>
      <c r="B25" s="1" t="s">
        <v>31</v>
      </c>
      <c r="C25" s="25">
        <f>SUM('Financial Statements'!B53:B56)/'Financial Statements'!B65</f>
        <v>2.1680737864875415</v>
      </c>
      <c r="D25" s="25">
        <f>SUM('Financial Statements'!C53:C56)/'Financial Statements'!C65</f>
        <v>2.0420557705522802</v>
      </c>
      <c r="E25" s="25">
        <f>SUM('Financial Statements'!D53:D56)/'Financial Statements'!D65</f>
        <v>2.4387713588283155</v>
      </c>
    </row>
    <row r="26" spans="1:5" x14ac:dyDescent="0.2">
      <c r="A26" s="14">
        <f t="shared" ref="A26:A30" si="2">+A25+0.1</f>
        <v>3.2</v>
      </c>
      <c r="B26" s="1" t="s">
        <v>32</v>
      </c>
      <c r="C26" s="25">
        <f>SUM('Financial Statements'!B53:B56)/'Financial Statements'!B47</f>
        <v>0.68435078618900957</v>
      </c>
      <c r="D26" s="25">
        <f>SUM('Financial Statements'!C53:C56)/'Financial Statements'!C47</f>
        <v>0.67127492872412009</v>
      </c>
      <c r="E26" s="25">
        <f>SUM('Financial Statements'!D53:D56)/'Financial Statements'!D47</f>
        <v>0.70919846199349301</v>
      </c>
    </row>
    <row r="27" spans="1:5" x14ac:dyDescent="0.2">
      <c r="A27" s="14">
        <f t="shared" si="2"/>
        <v>3.3000000000000003</v>
      </c>
      <c r="B27" s="1" t="s">
        <v>33</v>
      </c>
      <c r="C27" s="25">
        <f>SUM('Financial Statements'!B54:B55)/SUM('Financial Statements'!B54:B55,'Financial Statements'!B65)</f>
        <v>0.48964743623344903</v>
      </c>
      <c r="D27" s="25">
        <f>SUM('Financial Statements'!C54:C55)/SUM('Financial Statements'!C54:C55,'Financial Statements'!C65)</f>
        <v>0.45709629280552938</v>
      </c>
      <c r="E27" s="25">
        <f>SUM('Financial Statements'!D54:D55)/SUM('Financial Statements'!D54:D55,'Financial Statements'!D65)</f>
        <v>0.47464748330924167</v>
      </c>
    </row>
    <row r="28" spans="1:5" x14ac:dyDescent="0.2">
      <c r="A28" s="14">
        <f t="shared" si="2"/>
        <v>3.4000000000000004</v>
      </c>
      <c r="B28" s="1" t="s">
        <v>34</v>
      </c>
      <c r="C28" s="25">
        <f>'Financial Statements'!B16/-'Financial Statements'!B18</f>
        <v>5.1744824672581329</v>
      </c>
      <c r="D28" s="25">
        <f>'Financial Statements'!C16/-'Financial Statements'!C18</f>
        <v>13.752902155887231</v>
      </c>
      <c r="E28" s="25">
        <f>'Financial Statements'!D16/-'Financial Statements'!D18</f>
        <v>13.903460837887067</v>
      </c>
    </row>
    <row r="29" spans="1:5" x14ac:dyDescent="0.2">
      <c r="A29" s="14">
        <f t="shared" si="2"/>
        <v>3.5000000000000004</v>
      </c>
      <c r="B29" s="49" t="s">
        <v>35</v>
      </c>
      <c r="C29" s="25">
        <f>'Financial Statements'!B16/('Financial Statements'!B51-SUM('Financial Statements'!G53:G54))</f>
        <v>0.24760441515384304</v>
      </c>
      <c r="D29" s="25">
        <f>'Financial Statements'!C16/('Financial Statements'!C51-SUM('Financial Statements'!H53:H54))</f>
        <v>0.63507338864071472</v>
      </c>
      <c r="E29" s="25">
        <f>'Financial Statements'!D16/('Financial Statements'!D51-SUM('Financial Statements'!I53:I54))</f>
        <v>0.7192348765625981</v>
      </c>
    </row>
    <row r="30" spans="1:5" x14ac:dyDescent="0.2">
      <c r="A30" s="14">
        <f t="shared" si="2"/>
        <v>3.6000000000000005</v>
      </c>
      <c r="B30" s="1" t="s">
        <v>36</v>
      </c>
      <c r="C30" s="41">
        <f>C31/'Financial Statements'!B28</f>
        <v>-0.11532044361566395</v>
      </c>
      <c r="D30" s="41">
        <f>D31/'Financial Statements'!C28</f>
        <v>-0.83374518137787879</v>
      </c>
      <c r="E30" s="41">
        <f>E31/'Financial Statements'!D28</f>
        <v>2.4807596201899051</v>
      </c>
    </row>
    <row r="31" spans="1:5" x14ac:dyDescent="0.2">
      <c r="A31" s="14"/>
      <c r="B31" s="12" t="s">
        <v>37</v>
      </c>
      <c r="C31" s="10">
        <f>'Financial Statements'!B85+'Financial Statements'!B87+SUM('Financial Statements'!B95:B100)</f>
        <v>-1175</v>
      </c>
      <c r="D31" s="10">
        <f>'Financial Statements'!C85+'Financial Statements'!C87+SUM('Financial Statements'!C95:C100)</f>
        <v>-8435</v>
      </c>
      <c r="E31" s="10">
        <f>'Financial Statements'!D85+'Financial Statements'!D87+SUM('Financial Statements'!D95:D100)</f>
        <v>24820</v>
      </c>
    </row>
    <row r="32" spans="1:5" x14ac:dyDescent="0.2">
      <c r="A32" s="14"/>
    </row>
    <row r="33" spans="1:10" x14ac:dyDescent="0.2">
      <c r="A33" s="14">
        <f>+A24+1</f>
        <v>4</v>
      </c>
      <c r="B33" s="15" t="s">
        <v>38</v>
      </c>
    </row>
    <row r="34" spans="1:10" x14ac:dyDescent="0.2">
      <c r="A34" s="14">
        <f>+A33+0.1</f>
        <v>4.0999999999999996</v>
      </c>
      <c r="B34" s="1" t="s">
        <v>39</v>
      </c>
      <c r="C34" s="25">
        <f>'Financial Statements'!B7/AVERAGE('Financial Statements'!B47:C47)</f>
        <v>1.1638791518346421</v>
      </c>
      <c r="D34" s="25">
        <f>'Financial Statements'!C7/AVERAGE('Financial Statements'!C47:D47)</f>
        <v>1.2668036411484285</v>
      </c>
      <c r="E34" s="42"/>
    </row>
    <row r="35" spans="1:10" x14ac:dyDescent="0.2">
      <c r="A35" s="14">
        <f t="shared" ref="A35:A37" si="3">+A34+0.1</f>
        <v>4.1999999999999993</v>
      </c>
      <c r="B35" s="1" t="s">
        <v>40</v>
      </c>
      <c r="C35" s="25">
        <f>'Financial Statements'!B7/AVERAGE('Financial Statements'!B43:C43)</f>
        <v>2.9624721898811512</v>
      </c>
      <c r="D35" s="25">
        <f>'Financial Statements'!C7/AVERAGE('Financial Statements'!C43:D43)</f>
        <v>3.4369465425483274</v>
      </c>
      <c r="E35" s="42"/>
    </row>
    <row r="36" spans="1:10" x14ac:dyDescent="0.2">
      <c r="A36" s="14">
        <f t="shared" si="3"/>
        <v>4.2999999999999989</v>
      </c>
      <c r="B36" s="1" t="s">
        <v>41</v>
      </c>
      <c r="C36" s="25">
        <f>'Financial Statements'!B9/AVERAGE('Financial Statements'!B40:C40)</f>
        <v>8.6160340070102173</v>
      </c>
      <c r="D36" s="25">
        <f>'Financial Statements'!C9/AVERAGE('Financial Statements'!C40:D40)</f>
        <v>9.6515991849029863</v>
      </c>
      <c r="E36" s="42"/>
    </row>
    <row r="37" spans="1:10" ht="16" thickBot="1" x14ac:dyDescent="0.25">
      <c r="A37" s="14">
        <f t="shared" si="3"/>
        <v>4.3999999999999986</v>
      </c>
      <c r="B37" s="1" t="s">
        <v>42</v>
      </c>
      <c r="C37" s="25">
        <f>'Financial Statements'!B24/AVERAGE('Financial Statements'!B47:C47)</f>
        <v>-6.1637817812921752E-3</v>
      </c>
      <c r="D37" s="25">
        <f>'Financial Statements'!C24/AVERAGE('Financial Statements'!C47:D47)</f>
        <v>8.9960956880001719E-2</v>
      </c>
      <c r="E37" s="42"/>
    </row>
    <row r="38" spans="1:10" x14ac:dyDescent="0.2">
      <c r="A38" s="14"/>
      <c r="G38" s="43" t="s">
        <v>151</v>
      </c>
      <c r="H38" s="31"/>
      <c r="I38" s="31"/>
      <c r="J38" s="32"/>
    </row>
    <row r="39" spans="1:10" x14ac:dyDescent="0.2">
      <c r="A39" s="14">
        <f>+A33+1</f>
        <v>5</v>
      </c>
      <c r="B39" s="15" t="s">
        <v>43</v>
      </c>
      <c r="G39" s="33"/>
      <c r="H39" s="9">
        <v>2022</v>
      </c>
      <c r="I39" s="9">
        <v>2021</v>
      </c>
      <c r="J39" s="34">
        <v>2020</v>
      </c>
    </row>
    <row r="40" spans="1:10" ht="16" thickBot="1" x14ac:dyDescent="0.25">
      <c r="A40" s="14">
        <f>+A39+0.1</f>
        <v>5.0999999999999996</v>
      </c>
      <c r="B40" s="1" t="s">
        <v>44</v>
      </c>
      <c r="C40" s="25">
        <f>H40/C41</f>
        <v>-314.42909625275536</v>
      </c>
      <c r="D40" s="25">
        <f t="shared" ref="D40:E40" si="4">I40/D41</f>
        <v>50.554676897254531</v>
      </c>
      <c r="E40" s="25">
        <f t="shared" si="4"/>
        <v>76.382459800290647</v>
      </c>
      <c r="G40" s="37" t="s">
        <v>150</v>
      </c>
      <c r="H40" s="44">
        <v>84</v>
      </c>
      <c r="I40" s="44">
        <v>166.72</v>
      </c>
      <c r="J40" s="45">
        <v>162.85</v>
      </c>
    </row>
    <row r="41" spans="1:10" x14ac:dyDescent="0.2">
      <c r="A41" s="14">
        <f t="shared" ref="A41:A44" si="5">+A40+0.1</f>
        <v>5.1999999999999993</v>
      </c>
      <c r="B41" s="12" t="s">
        <v>45</v>
      </c>
      <c r="C41" s="41">
        <f>'Financial Statements'!B25</f>
        <v>-0.2671508489547551</v>
      </c>
      <c r="D41" s="41">
        <f>'Financial Statements'!C25</f>
        <v>3.2978155579717305</v>
      </c>
      <c r="E41" s="41">
        <f>'Financial Statements'!D25</f>
        <v>2.1320339830084958</v>
      </c>
    </row>
    <row r="42" spans="1:10" x14ac:dyDescent="0.2">
      <c r="A42" s="14">
        <f t="shared" si="5"/>
        <v>5.2999999999999989</v>
      </c>
      <c r="B42" s="1" t="s">
        <v>46</v>
      </c>
      <c r="C42" s="25">
        <f>H40/C43</f>
        <v>5.8604383640434667</v>
      </c>
      <c r="D42" s="25">
        <f t="shared" ref="D42:E42" si="6">I40/D43</f>
        <v>12.200848059604326</v>
      </c>
      <c r="E42" s="25">
        <f t="shared" si="6"/>
        <v>17.443730996531198</v>
      </c>
    </row>
    <row r="43" spans="1:10" x14ac:dyDescent="0.2">
      <c r="A43" s="14">
        <f t="shared" si="5"/>
        <v>5.3999999999999986</v>
      </c>
      <c r="B43" s="12" t="s">
        <v>47</v>
      </c>
      <c r="C43" s="25">
        <f>'Financial Statements'!B65/'Financial Statements'!B28</f>
        <v>14.333398763372264</v>
      </c>
      <c r="D43" s="25">
        <f>'Financial Statements'!C65/'Financial Statements'!C28</f>
        <v>13.66462390036572</v>
      </c>
      <c r="E43" s="25">
        <f>'Financial Statements'!D65/'Financial Statements'!D28</f>
        <v>9.3357321339330337</v>
      </c>
    </row>
    <row r="44" spans="1:10" x14ac:dyDescent="0.2">
      <c r="A44" s="14">
        <f t="shared" si="5"/>
        <v>5.4999999999999982</v>
      </c>
      <c r="B44" s="1" t="s">
        <v>48</v>
      </c>
      <c r="C44" s="25">
        <f>C45/'Financial Statements'!B25</f>
        <v>0</v>
      </c>
      <c r="D44" s="25">
        <f>D45/'Financial Statements'!C25</f>
        <v>0</v>
      </c>
      <c r="E44" s="25">
        <f>E45/'Financial Statements'!D25</f>
        <v>0</v>
      </c>
    </row>
    <row r="45" spans="1:10" x14ac:dyDescent="0.2">
      <c r="A45" s="14"/>
      <c r="B45" s="12" t="s">
        <v>49</v>
      </c>
      <c r="C45" s="25">
        <v>0</v>
      </c>
      <c r="D45" s="25">
        <v>0</v>
      </c>
      <c r="E45" s="25">
        <v>0</v>
      </c>
    </row>
    <row r="46" spans="1:10" x14ac:dyDescent="0.2">
      <c r="A46" s="14">
        <f>+A44+0.1</f>
        <v>5.5999999999999979</v>
      </c>
      <c r="B46" s="1" t="s">
        <v>50</v>
      </c>
      <c r="C46" s="25">
        <f>C45/H40</f>
        <v>0</v>
      </c>
      <c r="D46" s="25">
        <f t="shared" ref="D46:E46" si="7">D45/I40</f>
        <v>0</v>
      </c>
      <c r="E46" s="25">
        <f t="shared" si="7"/>
        <v>0</v>
      </c>
    </row>
    <row r="47" spans="1:10" x14ac:dyDescent="0.2">
      <c r="A47" s="14">
        <f t="shared" ref="A47:A50" si="8">+A45+0.1</f>
        <v>0.1</v>
      </c>
      <c r="B47" s="1" t="s">
        <v>51</v>
      </c>
      <c r="C47" s="25">
        <f>'Financial Statements'!B24/AVERAGE('Financial Statements'!B65:'Financial Statements'!C65)</f>
        <v>-1.914959477712742E-2</v>
      </c>
      <c r="D47" s="25">
        <f>'Financial Statements'!C24/AVERAGE('Financial Statements'!C65:'Financial Statements'!D65)</f>
        <v>0.2880564992726064</v>
      </c>
      <c r="E47" s="46"/>
    </row>
    <row r="48" spans="1:10" x14ac:dyDescent="0.2">
      <c r="A48" s="14">
        <f t="shared" si="8"/>
        <v>5.6999999999999975</v>
      </c>
      <c r="B48" s="1" t="s">
        <v>52</v>
      </c>
      <c r="C48" s="25">
        <f>'Financial Statements'!B16/AVERAGE(('Financial Statements'!B47-'Financial Statements'!B53),('Financial Statements'!C47-'Financial Statements'!C53))</f>
        <v>4.1833101363640247E-2</v>
      </c>
      <c r="D48" s="25">
        <f>'Financial Statements'!C16/AVERAGE(('Financial Statements'!C47-'Financial Statements'!C53),('Financial Statements'!D47-'Financial Statements'!D53))</f>
        <v>0.1051759379234104</v>
      </c>
      <c r="E48" s="46"/>
    </row>
    <row r="49" spans="1:5" x14ac:dyDescent="0.2">
      <c r="A49" s="14">
        <f t="shared" si="8"/>
        <v>0.2</v>
      </c>
      <c r="B49" s="1" t="s">
        <v>42</v>
      </c>
      <c r="C49" s="25">
        <f>'Financial Statements'!B24/AVERAGE('Financial Statements'!B47:C47)</f>
        <v>-6.1637817812921752E-3</v>
      </c>
      <c r="D49" s="25">
        <f>'Financial Statements'!C24/AVERAGE('Financial Statements'!C47:D47)</f>
        <v>8.9960956880001719E-2</v>
      </c>
      <c r="E49" s="46"/>
    </row>
    <row r="50" spans="1:5" x14ac:dyDescent="0.2">
      <c r="A50" s="14">
        <f t="shared" si="8"/>
        <v>5.7999999999999972</v>
      </c>
      <c r="B50" s="1" t="s">
        <v>53</v>
      </c>
      <c r="C50" s="25">
        <f>C51/C19</f>
        <v>17.391976960992448</v>
      </c>
      <c r="D50" s="25">
        <f t="shared" ref="D50:E50" si="9">D51/D19</f>
        <v>29.789608173725384</v>
      </c>
      <c r="E50" s="25">
        <f t="shared" si="9"/>
        <v>34.767388048836288</v>
      </c>
    </row>
    <row r="51" spans="1:5" x14ac:dyDescent="0.2">
      <c r="A51" s="14"/>
      <c r="B51" s="12" t="s">
        <v>54</v>
      </c>
      <c r="C51" s="40">
        <f>H40*'Financial Statements'!B28+SUM('Financial Statements'!B54:B55)-'Financial Statements'!B38</f>
        <v>942106</v>
      </c>
      <c r="D51" s="40">
        <f>I40*'Financial Statements'!C28+SUM('Financial Statements'!C54:C55)-'Financial Statements'!C38</f>
        <v>1766881.24</v>
      </c>
      <c r="E51" s="40">
        <f>J40*'Financial Statements'!D28+SUM('Financial Statements'!D54:D55)-'Financial Statements'!D38</f>
        <v>1671581.25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Jackie Xie</cp:lastModifiedBy>
  <dcterms:created xsi:type="dcterms:W3CDTF">2020-05-19T16:15:53Z</dcterms:created>
  <dcterms:modified xsi:type="dcterms:W3CDTF">2024-09-12T23:04:28Z</dcterms:modified>
</cp:coreProperties>
</file>