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AA08300-17BF-4F7C-A86C-F90B19F75D29}" xr6:coauthVersionLast="47" xr6:coauthVersionMax="47" xr10:uidLastSave="{00000000-0000-0000-0000-000000000000}"/>
  <bookViews>
    <workbookView xWindow="-28920" yWindow="-2895" windowWidth="2904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 l="1"/>
  <c r="E41" i="3"/>
  <c r="C41" i="3"/>
  <c r="D30" i="3"/>
  <c r="E30" i="3"/>
  <c r="C30" i="3"/>
  <c r="D32" i="3"/>
  <c r="E32" i="3"/>
  <c r="C32" i="3"/>
  <c r="D37" i="3"/>
  <c r="E37" i="3"/>
  <c r="C37" i="3"/>
  <c r="E36" i="3"/>
  <c r="D36" i="3"/>
  <c r="C36" i="3"/>
  <c r="D35" i="3"/>
  <c r="E35" i="3"/>
  <c r="C35" i="3"/>
  <c r="D34" i="3"/>
  <c r="E34" i="3"/>
  <c r="C34" i="3"/>
  <c r="B30" i="1"/>
  <c r="C30" i="1"/>
  <c r="D30" i="1"/>
  <c r="C29" i="1"/>
  <c r="D29" i="1"/>
  <c r="B29" i="1"/>
  <c r="D29" i="3"/>
  <c r="E29" i="3"/>
  <c r="C29" i="3"/>
  <c r="K22" i="3" l="1"/>
  <c r="D21" i="3"/>
  <c r="D20" i="3" s="1"/>
  <c r="E21" i="3"/>
  <c r="E20" i="3" s="1"/>
  <c r="D19" i="3"/>
  <c r="E19" i="3"/>
  <c r="E18" i="3" s="1"/>
  <c r="C19" i="3"/>
  <c r="C18" i="3" s="1"/>
  <c r="C21" i="3"/>
  <c r="D27" i="3"/>
  <c r="E27" i="3"/>
  <c r="C27" i="3"/>
  <c r="D26" i="3"/>
  <c r="E26" i="3"/>
  <c r="C26" i="3"/>
  <c r="D25" i="3"/>
  <c r="E25" i="3"/>
  <c r="C25" i="3"/>
  <c r="D22" i="3"/>
  <c r="E22" i="3"/>
  <c r="C22" i="3"/>
  <c r="C20" i="3"/>
  <c r="D18" i="3"/>
  <c r="C13" i="3"/>
  <c r="D17" i="3"/>
  <c r="E17" i="3"/>
  <c r="C17" i="3"/>
  <c r="D13" i="3"/>
  <c r="E13" i="3"/>
  <c r="D12" i="3"/>
  <c r="E12" i="3"/>
  <c r="C12" i="3"/>
  <c r="D10" i="3"/>
  <c r="E10" i="3"/>
  <c r="C10" i="3"/>
  <c r="C11" i="3"/>
  <c r="D7" i="3"/>
  <c r="E7" i="3"/>
  <c r="C7" i="3"/>
  <c r="D11" i="3"/>
  <c r="E11" i="3"/>
  <c r="D9" i="3"/>
  <c r="E9" i="3"/>
  <c r="C9" i="3"/>
  <c r="D8" i="3"/>
  <c r="E8" i="3"/>
  <c r="C8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62" i="1" l="1"/>
  <c r="C62" i="1"/>
  <c r="B13" i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<sst xmlns="http://schemas.openxmlformats.org/spreadsheetml/2006/main" count="175" uniqueCount="152">
  <si>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</si>
  <si>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</si>
  <si>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</si>
  <si>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</si>
  <si>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</si>
  <si>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</si>
  <si>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</si>
  <si>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</si>
  <si>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</si>
  <si>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</si>
  <si>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</si>
  <si>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</si>
  <si>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</si>
  <si>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</si>
  <si>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</si>
  <si>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</si>
  <si>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</si>
  <si>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</si>
  <si>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</si>
  <si>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</si>
  <si>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</si>
  <si>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</si>
  <si>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</si>
  <si>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</si>
  <si>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</si>
  <si>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</si>
  <si>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</si>
  <si>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</si>
  <si>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</si>
  <si>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</si>
  <si>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</si>
  <si>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</si>
  <si>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</si>
  <si>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</si>
  <si>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</si>
  <si>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</si>
  <si>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</si>
  <si>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</si>
  <si>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</si>
  <si>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</si>
  <si>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</si>
  <si>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</si>
  <si>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</si>
  <si>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</si>
  <si>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</si>
  <si>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</si>
  <si>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</si>
  <si>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</si>
  <si>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</si>
  <si>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</si>
  <si>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</si>
  <si>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</si>
  <si>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</si>
  <si>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</si>
  <si>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</si>
  <si>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</si>
  <si>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</si>
  <si>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</si>
  <si>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</si>
  <si>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</si>
  <si>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</si>
  <si>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</si>
  <si>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</si>
  <si>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</si>
  <si>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</si>
  <si>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</si>
  <si>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</si>
  <si>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</si>
  <si>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</si>
  <si>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</si>
  <si>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</si>
  <si>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</si>
  <si>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</si>
  <si>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</si>
  <si>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</si>
  <si>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</si>
  <si>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</si>
  <si>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</si>
  <si>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</si>
  <si>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</si>
  <si>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</si>
  <si>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</si>
  <si>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</si>
  <si>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</si>
  <si>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</si>
  <si>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</si>
  <si>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</si>
  <si>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</si>
  <si>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</si>
  <si>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</si>
  <si>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</si>
  <si>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</si>
  <si>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</si>
  <si>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</si>
  <si>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</si>
  <si>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</si>
  <si>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</si>
  <si>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</si>
  <si>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</si>
  <si>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</si>
  <si>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</si>
  <si>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</si>
  <si>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</si>
  <si>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</si>
  <si>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</si>
  <si>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</si>
  <si>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</si>
  <si>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</si>
  <si>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</si>
  <si>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</si>
  <si>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</si>
  <si>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</si>
  <si>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</si>
  <si>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</si>
  <si>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</si>
  <si>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</si>
  <si>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</si>
  <si>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</si>
  <si>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</si>
  <si>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</si>
  <si>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</si>
  <si>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</si>
  <si>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</si>
  <si>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</si>
  <si>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</si>
  <si>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</si>
  <si>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</si>
  <si>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</si>
  <si>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</si>
  <si>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</si>
  <si>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</si>
  <si>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</si>
  <si>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</si>
  <si>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</si>
  <si>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</si>
  <si>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</si>
  <si>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</si>
  <si>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</si>
  <si>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</si>
  <si>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</si>
  <si>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</si>
  <si>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</si>
  <si>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</si>
  <si>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</si>
  <si>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</si>
  <si>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</si>
  <si>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</si>
  <si>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</si>
  <si>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</si>
  <si>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</si>
  <si>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no interese</t>
  </si>
  <si>
    <t xml:space="preserve">Net borrowing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</si>
</sst>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" fontId="0" fillId="0" borderId="0" xfId="0" applyNumberFormat="1"/>
    <xf numFmtId="166" fontId="0" fillId="0" borderId="0" xfId="0" applyNumberFormat="1"/>
    <xf numFmtId="9" fontId="0" fillId="0" borderId="0" xfId="0" applyNumberFormat="1"/>
    <xf numFmtId="10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8" workbookViewId="0">
      <selection activeCell="A19" sqref="A19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" workbookViewId="0">
      <selection activeCell="B27" sqref="B27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29" spans="1:4" x14ac:dyDescent="0.25">
      <c r="B29">
        <f>B27/B24</f>
        <v>2636741.9512195121</v>
      </c>
      <c r="C29">
        <f t="shared" ref="C29:D30" si="8">C27/C24</f>
        <v>2945550.6172839506</v>
      </c>
      <c r="D29">
        <f t="shared" si="8"/>
        <v>5242332.0241691843</v>
      </c>
    </row>
    <row r="30" spans="1:4" x14ac:dyDescent="0.25">
      <c r="B30">
        <f>B28/B25</f>
        <v>2671983.4697217676</v>
      </c>
      <c r="C30">
        <f t="shared" si="8"/>
        <v>3006224.4206773615</v>
      </c>
      <c r="D30">
        <f t="shared" si="8"/>
        <v>5343967.6829268299</v>
      </c>
    </row>
    <row r="31" spans="1:4" x14ac:dyDescent="0.25">
      <c r="A31" s="24" t="s">
        <v>24</v>
      </c>
      <c r="B31" s="24"/>
      <c r="C31" s="24"/>
      <c r="D31" s="24"/>
    </row>
    <row r="32" spans="1:4" x14ac:dyDescent="0.25">
      <c r="B32" s="23" t="s">
        <v>142</v>
      </c>
      <c r="C32" s="23"/>
      <c r="D32" s="23"/>
    </row>
    <row r="33" spans="1:4" x14ac:dyDescent="0.25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10">+SUM(C36:C41)</f>
        <v>134836</v>
      </c>
      <c r="D42" s="13">
        <f t="shared" si="10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</row>
    <row r="70" spans="1:4" ht="15.75" thickTop="1" x14ac:dyDescent="0.25"/>
    <row r="71" spans="1:4" x14ac:dyDescent="0.25">
      <c r="A71" s="24" t="s">
        <v>55</v>
      </c>
      <c r="B71" s="24"/>
      <c r="C71" s="24"/>
      <c r="D71" s="24"/>
    </row>
    <row r="72" spans="1:4" x14ac:dyDescent="0.25">
      <c r="B72" s="23" t="s">
        <v>23</v>
      </c>
      <c r="C72" s="23"/>
      <c r="D72" s="23"/>
    </row>
    <row r="73" spans="1:4" x14ac:dyDescent="0.25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1">+SUM(C93:C98)</f>
        <v>-14545</v>
      </c>
      <c r="D99" s="13">
        <f t="shared" si="21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topLeftCell="A19" workbookViewId="0">
      <selection activeCell="C40" sqref="C40"/>
    </sheetView>
  </sheetViews>
  <sheetFormatPr defaultRowHeight="15" x14ac:dyDescent="0.25"/>
  <cols>
    <col min="1" max="1" width="4.7109375" customWidth="1"/>
    <col min="2" max="2" width="44.85546875" customWidth="1"/>
    <col min="3" max="5" width="12.140625" bestFit="1" customWidth="1"/>
    <col min="6" max="6" width="11.855468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5">
        <f>('Financial Statements'!B36+'Financial Statements'!B37)/'Financial Statements'!B56</f>
        <v>0.31369900377966253</v>
      </c>
      <c r="D7" s="25">
        <f>('Financial Statements'!C36+'Financial Statements'!C37)/'Financial Statements'!C56</f>
        <v>0.49919111259872012</v>
      </c>
      <c r="E7" s="25">
        <f>('Financial Statements'!D36+'Financial Statements'!D37)/'Financial Statements'!D56</f>
        <v>0.86290230757552755</v>
      </c>
    </row>
    <row r="8" spans="1:10" x14ac:dyDescent="0.25">
      <c r="A8" s="18">
        <f t="shared" si="0"/>
        <v>1.4000000000000004</v>
      </c>
      <c r="B8" s="1" t="s">
        <v>103</v>
      </c>
      <c r="C8" s="25">
        <f>('Financial Statements'!B42-'Financial Statements'!B39)/'Financial Statements'!B17</f>
        <v>2.5408316291751873</v>
      </c>
      <c r="D8" s="25">
        <f>('Financial Statements'!C42-'Financial Statements'!C39)/'Financial Statements'!C17</f>
        <v>2.9224143823911408</v>
      </c>
      <c r="E8" s="25">
        <f>('Financial Statements'!D42-'Financial Statements'!D39)/'Financial Statements'!D17</f>
        <v>3.6115651184441915</v>
      </c>
    </row>
    <row r="9" spans="1:10" x14ac:dyDescent="0.25">
      <c r="A9" s="18">
        <f t="shared" si="0"/>
        <v>1.5000000000000004</v>
      </c>
      <c r="B9" s="1" t="s">
        <v>104</v>
      </c>
      <c r="C9" s="25">
        <f>'Financial Statements'!B39/'Financial Statements'!B12*365</f>
        <v>8.0756980666171607</v>
      </c>
      <c r="D9" s="25">
        <f>'Financial Statements'!C39/'Financial Statements'!C12*365</f>
        <v>11.27659274770989</v>
      </c>
      <c r="E9" s="25">
        <f>'Financial Statements'!D39/'Financial Statements'!D12*365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2">
        <f>365/('Financial Statements'!B12/'Financial Statements'!B51)</f>
        <v>104.68527730310539</v>
      </c>
      <c r="D10" s="2">
        <f>365/('Financial Statements'!C12/'Financial Statements'!C51)</f>
        <v>93.85107122231561</v>
      </c>
      <c r="E10" s="2">
        <f>365/('Financial Statements'!D12/'Financial Statements'!D51)</f>
        <v>91.048189715674184</v>
      </c>
    </row>
    <row r="11" spans="1:10" x14ac:dyDescent="0.25">
      <c r="A11" s="18">
        <f t="shared" si="0"/>
        <v>1.7000000000000006</v>
      </c>
      <c r="B11" s="1" t="s">
        <v>106</v>
      </c>
      <c r="C11" s="25">
        <f>'Financial Statements'!B38/'Financial Statements'!B8*365</f>
        <v>26.087825363656648</v>
      </c>
      <c r="D11" s="25">
        <f>'Financial Statements'!C38/'Financial Statements'!C8*365</f>
        <v>26.219311841713207</v>
      </c>
      <c r="E11" s="25">
        <f>'Financial Statements'!D38/'Financial Statements'!D8*365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5">
        <f>C9+C11-C10</f>
        <v>-70.521753872831582</v>
      </c>
      <c r="D12" s="25">
        <f t="shared" ref="D12:E12" si="1">D9+D11-D10</f>
        <v>-56.355166632892512</v>
      </c>
      <c r="E12" s="25">
        <f t="shared" si="1"/>
        <v>-60.872869206641553</v>
      </c>
    </row>
    <row r="13" spans="1:10" x14ac:dyDescent="0.25">
      <c r="A13" s="18">
        <f t="shared" si="0"/>
        <v>1.9000000000000008</v>
      </c>
      <c r="B13" s="1" t="s">
        <v>108</v>
      </c>
      <c r="C13" s="28">
        <f>C5/'Financial Statements'!B8</f>
        <v>2.2300116365734177E-6</v>
      </c>
      <c r="D13" s="28">
        <f>D5/'Financial Statements'!C8*100</f>
        <v>2.9374061883285775E-4</v>
      </c>
      <c r="E13" s="28">
        <f>E5/'Financial Statements'!D8*100</f>
        <v>4.9673221796821948E-4</v>
      </c>
      <c r="F13" s="28"/>
    </row>
    <row r="14" spans="1:10" x14ac:dyDescent="0.25">
      <c r="A14" s="18"/>
      <c r="B14" s="3" t="s">
        <v>109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11" x14ac:dyDescent="0.25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11" x14ac:dyDescent="0.25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</row>
    <row r="19" spans="1:11" x14ac:dyDescent="0.25">
      <c r="A19" s="18"/>
      <c r="B19" s="3" t="s">
        <v>112</v>
      </c>
      <c r="C19" s="25">
        <f>'Financial Statements'!B18+'Financial Statements'!B79</f>
        <v>130541</v>
      </c>
      <c r="D19" s="25">
        <f>'Financial Statements'!C18+'Financial Statements'!C79</f>
        <v>120233</v>
      </c>
      <c r="E19" s="25">
        <f>'Financial Statements'!D18+'Financial Statements'!D79</f>
        <v>77344</v>
      </c>
    </row>
    <row r="20" spans="1:11" x14ac:dyDescent="0.25">
      <c r="A20" s="18">
        <f>+A18+0.1</f>
        <v>2.3000000000000003</v>
      </c>
      <c r="B20" s="1" t="s">
        <v>113</v>
      </c>
      <c r="C20" s="27">
        <f>C21/'Financial Statements'!B8</f>
        <v>0.30204043334482966</v>
      </c>
      <c r="D20" s="27">
        <f>D21/'Financial Statements'!C8</f>
        <v>0.29852904594373691</v>
      </c>
      <c r="E20" s="27">
        <f>E21/'Financial Statements'!D8</f>
        <v>0.24439830246070343</v>
      </c>
    </row>
    <row r="21" spans="1:11" x14ac:dyDescent="0.25">
      <c r="A21" s="18"/>
      <c r="B21" s="3" t="s">
        <v>114</v>
      </c>
      <c r="C21" s="25">
        <f>'Financial Statements'!B20</f>
        <v>119103</v>
      </c>
      <c r="D21" s="25">
        <f>'Financial Statements'!C20</f>
        <v>109207</v>
      </c>
      <c r="E21" s="25">
        <f>'Financial Statements'!D20</f>
        <v>67091</v>
      </c>
    </row>
    <row r="22" spans="1:11" x14ac:dyDescent="0.25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K22">
        <f>10/12*21</f>
        <v>17.5</v>
      </c>
    </row>
    <row r="23" spans="1:11" x14ac:dyDescent="0.25">
      <c r="A23" s="18"/>
    </row>
    <row r="24" spans="1:11" x14ac:dyDescent="0.25">
      <c r="A24" s="18">
        <f>+A16+1</f>
        <v>3</v>
      </c>
      <c r="B24" s="7" t="s">
        <v>116</v>
      </c>
    </row>
    <row r="25" spans="1:11" x14ac:dyDescent="0.25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11" x14ac:dyDescent="0.25">
      <c r="A26" s="18">
        <f t="shared" ref="A26:A30" si="2">+A25+0.1</f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11" x14ac:dyDescent="0.25">
      <c r="A27" s="18">
        <f t="shared" si="2"/>
        <v>3.3000000000000003</v>
      </c>
      <c r="B27" s="1" t="s">
        <v>119</v>
      </c>
      <c r="C27" s="25">
        <f>'Financial Statements'!B61/'Financial Statements'!B68</f>
        <v>2.9227383959583202</v>
      </c>
      <c r="D27" s="25">
        <f>'Financial Statements'!C61/'Financial Statements'!C68</f>
        <v>2.5745918529085432</v>
      </c>
      <c r="E27" s="25">
        <f>'Financial Statements'!D61/'Financial Statements'!D68</f>
        <v>2.3440364866312615</v>
      </c>
    </row>
    <row r="28" spans="1:11" x14ac:dyDescent="0.25">
      <c r="A28" s="18">
        <f t="shared" si="2"/>
        <v>3.4000000000000004</v>
      </c>
      <c r="B28" s="1" t="s">
        <v>120</v>
      </c>
      <c r="C28">
        <v>0</v>
      </c>
      <c r="D28">
        <v>0</v>
      </c>
      <c r="E28">
        <v>0</v>
      </c>
      <c r="F28" t="s">
        <v>150</v>
      </c>
    </row>
    <row r="29" spans="1:11" x14ac:dyDescent="0.25">
      <c r="A29" s="18">
        <f t="shared" si="2"/>
        <v>3.5000000000000004</v>
      </c>
      <c r="B29" s="1" t="s">
        <v>121</v>
      </c>
      <c r="C29" s="25">
        <f>'Financial Statements'!B91/'Financial Statements'!B17</f>
        <v>2.379024247735904</v>
      </c>
      <c r="D29" s="25">
        <f>'Financial Statements'!C91/'Financial Statements'!C17</f>
        <v>2.3705881012600543</v>
      </c>
      <c r="E29" s="25">
        <f>'Financial Statements'!D91/'Financial Statements'!D17</f>
        <v>2.0863246094962244</v>
      </c>
    </row>
    <row r="30" spans="1:11" x14ac:dyDescent="0.25">
      <c r="A30" s="18">
        <f t="shared" si="2"/>
        <v>3.6000000000000005</v>
      </c>
      <c r="B30" s="1" t="s">
        <v>122</v>
      </c>
      <c r="C30" s="26">
        <f>('Financial Statements'!B22+'Financial Statements'!B79+'Financial Statements'!B96-('Financial Statements'!B42-'Financial Statements'!B56)+C32)/'Financial Statements'!B29</f>
        <v>3.0074615365118927E-2</v>
      </c>
      <c r="D30" s="26">
        <f>('Financial Statements'!C22+'Financial Statements'!C79+'Financial Statements'!C96-('Financial Statements'!C42-'Financial Statements'!C56)+D32)/'Financial Statements'!C29</f>
        <v>7.9530122017053544E-3</v>
      </c>
      <c r="E30" s="26">
        <f>('Financial Statements'!D22+'Financial Statements'!D79+'Financial Statements'!D96-('Financial Statements'!D42-'Financial Statements'!D56)+E32)/'Financial Statements'!D29</f>
        <v>-7.9407408397787031E-3</v>
      </c>
    </row>
    <row r="31" spans="1:11" x14ac:dyDescent="0.25">
      <c r="A31" s="18"/>
      <c r="B31" s="3" t="s">
        <v>123</v>
      </c>
    </row>
    <row r="32" spans="1:11" x14ac:dyDescent="0.25">
      <c r="A32" s="18"/>
      <c r="B32" s="1" t="s">
        <v>151</v>
      </c>
      <c r="C32" s="25">
        <f>'Financial Statements'!B95+'Financial Statements'!B93</f>
        <v>-39477</v>
      </c>
      <c r="D32" s="25">
        <f>'Financial Statements'!C95+'Financial Statements'!C93</f>
        <v>-62098</v>
      </c>
      <c r="E32" s="25">
        <f>'Financial Statements'!D95+'Financial Statements'!D93</f>
        <v>-64465</v>
      </c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</row>
    <row r="35" spans="1:5" x14ac:dyDescent="0.25">
      <c r="A35" s="18">
        <f t="shared" ref="A35:A37" si="3">+A34+0.1</f>
        <v>4.1999999999999993</v>
      </c>
      <c r="B35" s="1" t="s">
        <v>126</v>
      </c>
      <c r="C35" s="25">
        <f>'Financial Statements'!B8/'Financial Statements'!B47</f>
        <v>1.8142535081665516</v>
      </c>
      <c r="D35" s="25">
        <f>'Financial Statements'!C8/'Financial Statements'!C47</f>
        <v>1.6922966608994938</v>
      </c>
      <c r="E35" s="25">
        <f>'Financial Statements'!D8/'Financial Statements'!D47</f>
        <v>1.5236020535590398</v>
      </c>
    </row>
    <row r="36" spans="1:5" x14ac:dyDescent="0.25">
      <c r="A36" s="18">
        <f t="shared" si="3"/>
        <v>4.2999999999999989</v>
      </c>
      <c r="B36" s="1" t="s">
        <v>127</v>
      </c>
      <c r="C36" s="25">
        <f>'Financial Statements'!B12/('Financial Statements'!B39)</f>
        <v>45.197331176708452</v>
      </c>
      <c r="D36" s="25">
        <f>'Financial Statements'!C12/(('Financial Statements'!C39+'Financial Statements'!B39)/2)</f>
        <v>36.95661981606802</v>
      </c>
      <c r="E36" s="25">
        <f>'Financial Statements'!D12/(('Financial Statements'!D39+'Financial Statements'!C39)/2)</f>
        <v>31.868997274692227</v>
      </c>
    </row>
    <row r="37" spans="1:5" x14ac:dyDescent="0.25">
      <c r="A37" s="18">
        <f t="shared" si="3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</row>
    <row r="40" spans="1:5" x14ac:dyDescent="0.25">
      <c r="A40" s="18">
        <f>+A39+0.1</f>
        <v>5.0999999999999996</v>
      </c>
      <c r="B40" s="1" t="s">
        <v>130</v>
      </c>
    </row>
    <row r="41" spans="1:5" x14ac:dyDescent="0.25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5">
      <c r="A42" s="18">
        <f t="shared" si="4"/>
        <v>5.2999999999999989</v>
      </c>
      <c r="B42" s="1" t="s">
        <v>132</v>
      </c>
    </row>
    <row r="43" spans="1:5" x14ac:dyDescent="0.25">
      <c r="A43" s="18">
        <f t="shared" si="4"/>
        <v>5.3999999999999986</v>
      </c>
      <c r="B43" s="3" t="s">
        <v>133</v>
      </c>
    </row>
    <row r="44" spans="1:5" x14ac:dyDescent="0.25">
      <c r="A44" s="18">
        <f t="shared" si="4"/>
        <v>5.4999999999999982</v>
      </c>
      <c r="B44" s="1" t="s">
        <v>134</v>
      </c>
    </row>
    <row r="45" spans="1:5" x14ac:dyDescent="0.25">
      <c r="A45" s="18"/>
      <c r="B45" s="3" t="s">
        <v>135</v>
      </c>
    </row>
    <row r="46" spans="1:5" x14ac:dyDescent="0.25">
      <c r="A46" s="18">
        <f>+A44+0.1</f>
        <v>5.5999999999999979</v>
      </c>
      <c r="B46" s="1" t="s">
        <v>136</v>
      </c>
    </row>
    <row r="47" spans="1:5" x14ac:dyDescent="0.25">
      <c r="A47" s="18">
        <f t="shared" ref="A47:A50" si="5">+A45+0.1</f>
        <v>0.1</v>
      </c>
      <c r="B47" s="1" t="s">
        <v>137</v>
      </c>
    </row>
    <row r="48" spans="1:5" x14ac:dyDescent="0.25">
      <c r="A48" s="18">
        <f t="shared" si="5"/>
        <v>5.6999999999999975</v>
      </c>
      <c r="B48" s="1" t="s">
        <v>138</v>
      </c>
    </row>
    <row r="49" spans="1:2" x14ac:dyDescent="0.25">
      <c r="A49" s="18">
        <f t="shared" si="5"/>
        <v>0.2</v>
      </c>
      <c r="B49" s="1" t="s">
        <v>128</v>
      </c>
    </row>
    <row r="50" spans="1:2" x14ac:dyDescent="0.25">
      <c r="A50" s="18">
        <f t="shared" si="5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Hussien Shallaly</cp:lastModifiedBy>
  <dcterms:created xsi:type="dcterms:W3CDTF">2020-05-18T16:32:37Z</dcterms:created>
  <dcterms:modified xsi:type="dcterms:W3CDTF">2024-09-01T13:48:29Z</dcterms:modified>
</cp:coreProperties>
</file>