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dkazanci/Documents/DOCs_ADD/PROFESSIONAL/1. JOB APPLICATIONS/Quill Capital Partners/Tasks/"/>
    </mc:Choice>
  </mc:AlternateContent>
  <xr:revisionPtr revIDLastSave="0" documentId="13_ncr:1_{BD869EC4-C86C-0748-8329-9EA5C884898C}" xr6:coauthVersionLast="47" xr6:coauthVersionMax="47" xr10:uidLastSave="{00000000-0000-0000-0000-000000000000}"/>
  <bookViews>
    <workbookView xWindow="20" yWindow="500" windowWidth="27120" windowHeight="1486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2" i="3" l="1"/>
  <c r="D92" i="3"/>
  <c r="C92" i="3"/>
  <c r="E91" i="3"/>
  <c r="D91" i="3"/>
  <c r="C91" i="3"/>
  <c r="C90" i="3"/>
  <c r="E90" i="3"/>
  <c r="D90" i="3"/>
  <c r="E87" i="3"/>
  <c r="C87" i="3"/>
  <c r="D87" i="3"/>
  <c r="D86" i="3"/>
  <c r="E86" i="3"/>
  <c r="C86" i="3"/>
  <c r="E85" i="3"/>
  <c r="D85" i="3"/>
  <c r="C85" i="3"/>
  <c r="E84" i="3"/>
  <c r="D84" i="3"/>
  <c r="C84" i="3"/>
  <c r="E83" i="3"/>
  <c r="D83" i="3"/>
  <c r="C83" i="3"/>
  <c r="E81" i="3"/>
  <c r="D81" i="3"/>
  <c r="C81" i="3"/>
  <c r="E80" i="3"/>
  <c r="D80" i="3"/>
  <c r="C80" i="3"/>
  <c r="E77" i="3"/>
  <c r="D77" i="3"/>
  <c r="C77" i="3"/>
  <c r="E76" i="3"/>
  <c r="D76" i="3"/>
  <c r="C76" i="3"/>
  <c r="E75" i="3"/>
  <c r="D75" i="3"/>
  <c r="C75" i="3"/>
  <c r="E74" i="3"/>
  <c r="D74" i="3"/>
  <c r="C74" i="3"/>
  <c r="E73" i="3"/>
  <c r="D73" i="3"/>
  <c r="C73" i="3"/>
  <c r="E72" i="3"/>
  <c r="D72" i="3"/>
  <c r="C72" i="3"/>
  <c r="E71" i="3"/>
  <c r="D71" i="3"/>
  <c r="C71" i="3"/>
  <c r="D70" i="3"/>
  <c r="E70" i="3"/>
  <c r="C70" i="3"/>
  <c r="E68" i="3"/>
  <c r="D68" i="3"/>
  <c r="C68" i="3"/>
  <c r="E67" i="3"/>
  <c r="D67" i="3"/>
  <c r="C67" i="3"/>
  <c r="E66" i="3"/>
  <c r="D66" i="3"/>
  <c r="C66" i="3"/>
  <c r="E63" i="3"/>
  <c r="D63" i="3"/>
  <c r="C63" i="3"/>
  <c r="E62" i="3"/>
  <c r="D62" i="3"/>
  <c r="C62" i="3"/>
  <c r="E61" i="3"/>
  <c r="D61" i="3"/>
  <c r="C61" i="3"/>
  <c r="E60" i="3"/>
  <c r="D60" i="3"/>
  <c r="C60" i="3"/>
  <c r="E58" i="3"/>
  <c r="E57" i="3"/>
  <c r="D57" i="3"/>
  <c r="C57" i="3"/>
  <c r="E56" i="3"/>
  <c r="D56" i="3"/>
  <c r="C56" i="3"/>
  <c r="D58" i="3"/>
  <c r="C58" i="3"/>
  <c r="B12" i="1"/>
  <c r="B13" i="1"/>
  <c r="C13" i="1"/>
  <c r="C51" i="3"/>
  <c r="E51" i="3"/>
  <c r="D51" i="3"/>
  <c r="E49" i="3"/>
  <c r="D49" i="3"/>
  <c r="D48" i="3"/>
  <c r="E48" i="3"/>
  <c r="E47" i="3"/>
  <c r="D47" i="3"/>
  <c r="E45" i="3"/>
  <c r="E46" i="3" s="1"/>
  <c r="D45" i="3"/>
  <c r="D46" i="3" s="1"/>
  <c r="C45" i="3"/>
  <c r="C46" i="3" s="1"/>
  <c r="C43" i="3"/>
  <c r="C42" i="3" s="1"/>
  <c r="D43" i="3"/>
  <c r="D42" i="3" s="1"/>
  <c r="E43" i="3"/>
  <c r="E42" i="3" s="1"/>
  <c r="C41" i="3"/>
  <c r="D41" i="3"/>
  <c r="D40" i="3" s="1"/>
  <c r="E41" i="3"/>
  <c r="E40" i="3" s="1"/>
  <c r="E37" i="3"/>
  <c r="D37" i="3"/>
  <c r="C36" i="3"/>
  <c r="E36" i="3"/>
  <c r="D36" i="3"/>
  <c r="E9" i="3"/>
  <c r="C9" i="3"/>
  <c r="E35" i="3"/>
  <c r="D35" i="3"/>
  <c r="C35" i="3"/>
  <c r="E34" i="3"/>
  <c r="D34" i="3"/>
  <c r="C34" i="3"/>
  <c r="E31" i="3"/>
  <c r="E30" i="3" s="1"/>
  <c r="D31" i="3"/>
  <c r="D30" i="3" s="1"/>
  <c r="E29" i="3"/>
  <c r="D29" i="3"/>
  <c r="D28" i="3"/>
  <c r="E28" i="3"/>
  <c r="E27" i="3"/>
  <c r="D27" i="3"/>
  <c r="C27" i="3"/>
  <c r="E26" i="3"/>
  <c r="C26" i="3"/>
  <c r="D26" i="3"/>
  <c r="E25" i="3"/>
  <c r="D25" i="3"/>
  <c r="C25" i="3"/>
  <c r="E22" i="3"/>
  <c r="D22" i="3"/>
  <c r="E21" i="3"/>
  <c r="E20" i="3" s="1"/>
  <c r="D21" i="3"/>
  <c r="D20" i="3" s="1"/>
  <c r="D19" i="3"/>
  <c r="D18" i="3" s="1"/>
  <c r="E19" i="3"/>
  <c r="E18" i="3" s="1"/>
  <c r="C17" i="3"/>
  <c r="E17" i="3"/>
  <c r="D17" i="3"/>
  <c r="C14" i="3"/>
  <c r="C13" i="3" s="1"/>
  <c r="E14" i="3"/>
  <c r="E13" i="3" s="1"/>
  <c r="D14" i="3"/>
  <c r="D13" i="3" s="1"/>
  <c r="C10" i="3"/>
  <c r="E11" i="3"/>
  <c r="D11" i="3"/>
  <c r="C11" i="3"/>
  <c r="E10" i="3"/>
  <c r="D10" i="3"/>
  <c r="D9" i="3"/>
  <c r="C8" i="3"/>
  <c r="B17" i="1"/>
  <c r="E8" i="3"/>
  <c r="D8" i="3"/>
  <c r="D7" i="3"/>
  <c r="E7" i="3"/>
  <c r="C7" i="3"/>
  <c r="E6" i="3"/>
  <c r="D6" i="3"/>
  <c r="C6" i="3"/>
  <c r="D5" i="3"/>
  <c r="C5" i="3"/>
  <c r="E5" i="3"/>
  <c r="D108" i="1"/>
  <c r="C108" i="1"/>
  <c r="B108" i="1"/>
  <c r="D99" i="1"/>
  <c r="C99" i="1"/>
  <c r="B99" i="1"/>
  <c r="C44" i="3" l="1"/>
  <c r="D50" i="3"/>
  <c r="E44" i="3"/>
  <c r="D44" i="3"/>
  <c r="D12" i="3"/>
  <c r="E50" i="3"/>
  <c r="C40" i="3"/>
  <c r="C12" i="3"/>
  <c r="E12" i="3"/>
  <c r="D68" i="1"/>
  <c r="C68" i="1"/>
  <c r="B68" i="1"/>
  <c r="D61" i="1"/>
  <c r="C61" i="1"/>
  <c r="B61" i="1"/>
  <c r="D56" i="1"/>
  <c r="C56" i="1"/>
  <c r="C62" i="1" s="1"/>
  <c r="B56" i="1"/>
  <c r="B62" i="1" s="1"/>
  <c r="D47" i="1"/>
  <c r="C47" i="1"/>
  <c r="B47" i="1"/>
  <c r="D42" i="1"/>
  <c r="C42" i="1"/>
  <c r="B42" i="1"/>
  <c r="B48" i="1" s="1"/>
  <c r="D17" i="1"/>
  <c r="C17" i="1"/>
  <c r="D12" i="1"/>
  <c r="C12" i="1"/>
  <c r="D8" i="1"/>
  <c r="D13" i="1" s="1"/>
  <c r="D18" i="1" s="1"/>
  <c r="D20" i="1" s="1"/>
  <c r="D22" i="1" s="1"/>
  <c r="D76" i="1" s="1"/>
  <c r="D91" i="1" s="1"/>
  <c r="D109" i="1" s="1"/>
  <c r="C8" i="1"/>
  <c r="C18" i="1" s="1"/>
  <c r="C20" i="1" s="1"/>
  <c r="C22" i="1" s="1"/>
  <c r="C76" i="1" s="1"/>
  <c r="C91" i="1" s="1"/>
  <c r="C109" i="1" s="1"/>
  <c r="B8" i="1"/>
  <c r="E3" i="3"/>
  <c r="D3" i="3"/>
  <c r="C3" i="3"/>
  <c r="D33" i="1"/>
  <c r="D73" i="1" s="1"/>
  <c r="C33" i="1"/>
  <c r="C73" i="1" s="1"/>
  <c r="B33" i="1"/>
  <c r="B73" i="1" s="1"/>
  <c r="B18" i="1" l="1"/>
  <c r="C48" i="1"/>
  <c r="D62" i="1"/>
  <c r="D69" i="1" s="1"/>
  <c r="C69" i="1"/>
  <c r="D48" i="1"/>
  <c r="B69" i="1"/>
  <c r="A47" i="3"/>
  <c r="A49" i="3" s="1"/>
  <c r="A16" i="3"/>
  <c r="A17" i="3" s="1"/>
  <c r="A18" i="3" s="1"/>
  <c r="A20" i="3" s="1"/>
  <c r="A22" i="3" s="1"/>
  <c r="A5" i="3"/>
  <c r="B20" i="1" l="1"/>
  <c r="C48" i="3"/>
  <c r="C28" i="3"/>
  <c r="C19" i="3"/>
  <c r="C21" i="3"/>
  <c r="C20" i="3" s="1"/>
  <c r="C29" i="3"/>
  <c r="A24" i="3"/>
  <c r="A25" i="3" s="1"/>
  <c r="A26" i="3" s="1"/>
  <c r="A27" i="3" s="1"/>
  <c r="A28" i="3" s="1"/>
  <c r="A29" i="3" s="1"/>
  <c r="A30" i="3" s="1"/>
  <c r="A6" i="3"/>
  <c r="A7" i="3" s="1"/>
  <c r="A8" i="3" s="1"/>
  <c r="A9" i="3" s="1"/>
  <c r="A10" i="3" s="1"/>
  <c r="A11" i="3" s="1"/>
  <c r="A12" i="3" s="1"/>
  <c r="A13" i="3" s="1"/>
  <c r="C18" i="3" l="1"/>
  <c r="C50" i="3"/>
  <c r="B22" i="1"/>
  <c r="A33" i="3"/>
  <c r="A34" i="3" s="1"/>
  <c r="A35" i="3" s="1"/>
  <c r="A36" i="3" s="1"/>
  <c r="A37" i="3" s="1"/>
  <c r="B26" i="1" l="1"/>
  <c r="C47" i="3"/>
  <c r="C37" i="3"/>
  <c r="C22" i="3"/>
  <c r="C49" i="3"/>
  <c r="B76" i="1"/>
  <c r="B91" i="1" s="1"/>
  <c r="A39" i="3"/>
  <c r="A40" i="3" s="1"/>
  <c r="A41" i="3" s="1"/>
  <c r="A42" i="3" s="1"/>
  <c r="A43" i="3" s="1"/>
  <c r="A44" i="3" s="1"/>
  <c r="A46" i="3" s="1"/>
  <c r="A48" i="3" s="1"/>
  <c r="A50" i="3" s="1"/>
  <c r="B109" i="1" l="1"/>
  <c r="C31" i="3"/>
  <c r="C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SeaSun</author>
  </authors>
  <commentList>
    <comment ref="C40" authorId="0" shapeId="0" xr:uid="{C0805603-C398-0E41-824C-E0F414E98FC9}">
      <text>
        <r>
          <rPr>
            <sz val="10"/>
            <color rgb="FF000000"/>
            <rFont val="Tahoma"/>
            <family val="2"/>
          </rPr>
          <t>$129.93 as of 12.30.2022</t>
        </r>
      </text>
    </comment>
    <comment ref="D40" authorId="0" shapeId="0" xr:uid="{59A124D4-5364-734D-8AA1-F39C4BA6335C}">
      <text>
        <r>
          <rPr>
            <sz val="10"/>
            <color rgb="FF000000"/>
            <rFont val="Tahoma"/>
            <family val="2"/>
          </rPr>
          <t>$177.57 as of 12.31.2021</t>
        </r>
      </text>
    </comment>
    <comment ref="E40" authorId="0" shapeId="0" xr:uid="{C5EB0B62-C8DC-B044-8384-883BDD7BDBFF}">
      <text>
        <r>
          <rPr>
            <sz val="10"/>
            <color rgb="FF000000"/>
            <rFont val="Tahoma"/>
            <family val="2"/>
          </rPr>
          <t>market price at $131.97 as of 12.25.2020</t>
        </r>
      </text>
    </comment>
    <comment ref="E56" authorId="0" shapeId="0" xr:uid="{342370DA-4C5E-A544-9ED3-E5583387F879}">
      <text>
        <r>
          <rPr>
            <sz val="10"/>
            <color rgb="FF000000"/>
            <rFont val="Tahoma"/>
            <family val="2"/>
          </rPr>
          <t>Utilzed Sept. 28, 2019 Consolidated Statement of Operations,  product sales value of $51,529 million</t>
        </r>
      </text>
    </comment>
    <comment ref="E57" authorId="0" shapeId="0" xr:uid="{9117D72B-1FE7-7A4E-ABD4-0DCF2FDEE8BD}">
      <text>
        <r>
          <rPr>
            <sz val="10"/>
            <color rgb="FF000000"/>
            <rFont val="Tahoma"/>
            <family val="2"/>
          </rPr>
          <t>Utilzed Sept. 28, 2019 Consolidated Statement of Operations,  service sales value of $12,511 million</t>
        </r>
      </text>
    </comment>
    <comment ref="E58" authorId="0" shapeId="0" xr:uid="{5909C6ED-D9BA-3B46-B69C-7821849208EA}">
      <text>
        <r>
          <rPr>
            <sz val="10"/>
            <color rgb="FF000000"/>
            <rFont val="Tahoma"/>
            <family val="2"/>
          </rPr>
          <t>Utilzed Sept. 28, 2019 Consolidated Statement of Operations,  Total net sales value of $64,040million</t>
        </r>
      </text>
    </comment>
    <comment ref="E60" authorId="0" shapeId="0" xr:uid="{7734E268-DD5F-4B43-8186-FFFE00CEC071}">
      <text>
        <r>
          <rPr>
            <sz val="10"/>
            <color rgb="FF000000"/>
            <rFont val="Tahoma"/>
            <family val="2"/>
          </rPr>
          <t xml:space="preserve">Utilzed Sept. 28, 2019 Consolidated Statement of Operations,  cost of products value of $35,238 </t>
        </r>
        <r>
          <rPr>
            <sz val="10"/>
            <color rgb="FF000000"/>
            <rFont val="Calibri"/>
            <family val="2"/>
            <scheme val="minor"/>
          </rPr>
          <t>million</t>
        </r>
        <r>
          <rPr>
            <sz val="10"/>
            <color rgb="FF000000"/>
            <rFont val="Tahoma"/>
            <family val="2"/>
          </rPr>
          <t xml:space="preserve"> </t>
        </r>
      </text>
    </comment>
    <comment ref="E61" authorId="0" shapeId="0" xr:uid="{C443575B-AD7D-E244-B372-F3429B265C75}">
      <text>
        <r>
          <rPr>
            <sz val="10"/>
            <color rgb="FF000000"/>
            <rFont val="Tahoma"/>
            <family val="2"/>
          </rPr>
          <t>Utilzed Sept. 28, 2019 Consolidated Statement of Operations, cost of services value of $4,489 million</t>
        </r>
      </text>
    </comment>
    <comment ref="E62" authorId="0" shapeId="0" xr:uid="{B7BDB0E4-7CD1-CE49-B6A8-B83EB26ACF6B}">
      <text>
        <r>
          <rPr>
            <sz val="10"/>
            <color rgb="FF000000"/>
            <rFont val="Tahoma"/>
            <family val="2"/>
          </rPr>
          <t>Utilzed Sept. 28, 2019 Consolidated Statement of Operations, total cost of sales value of $39,727 million</t>
        </r>
      </text>
    </comment>
    <comment ref="E63" authorId="0" shapeId="0" xr:uid="{5B4EB7EC-1852-B348-BF62-7BAC45F11AB6}">
      <text>
        <r>
          <rPr>
            <sz val="10"/>
            <color rgb="FF000000"/>
            <rFont val="Tahoma"/>
            <family val="2"/>
          </rPr>
          <t>Utilzed Sept. 28, 2019 Consolidated Statement of Operations, gross margin value of $24,313 million</t>
        </r>
      </text>
    </comment>
    <comment ref="E66" authorId="0" shapeId="0" xr:uid="{655FF004-5289-E943-A2C9-E723FF5B60F0}">
      <text>
        <r>
          <rPr>
            <sz val="10"/>
            <color rgb="FF000000"/>
            <rFont val="Tahoma"/>
            <family val="2"/>
          </rPr>
          <t>Utilzed Sept. 28, 2019 Consolidated Statement of Operations, research and development operating expense value of $4,489 million</t>
        </r>
      </text>
    </comment>
    <comment ref="E67" authorId="0" shapeId="0" xr:uid="{09AD05D0-B4DE-DD40-AE99-AAF0AB8331CB}">
      <text>
        <r>
          <rPr>
            <sz val="10"/>
            <color rgb="FF000000"/>
            <rFont val="Tahoma"/>
            <family val="2"/>
          </rPr>
          <t>Utilzed Sept. 28, 2019 Consolidated Statement of Operations, selling, general and administrative operating expense value of $4,578 million</t>
        </r>
      </text>
    </comment>
    <comment ref="E68" authorId="0" shapeId="0" xr:uid="{B5FACE79-B3F3-DD40-AC2A-6972A6446350}">
      <text>
        <r>
          <rPr>
            <sz val="10"/>
            <color rgb="FF000000"/>
            <rFont val="Tahoma"/>
            <family val="2"/>
          </rPr>
          <t>Utilzed Sept. 28, 2019 Consolidated Statement of Operations, total operating expense value of $8,688 million</t>
        </r>
      </text>
    </comment>
    <comment ref="E70" authorId="0" shapeId="0" xr:uid="{A80D574B-9F15-7246-BB6D-AA10C3323199}">
      <text>
        <r>
          <rPr>
            <sz val="10"/>
            <color rgb="FF000000"/>
            <rFont val="Tahoma"/>
            <family val="2"/>
          </rPr>
          <t>Utilzed Sept. 28, 2019 Consolidated Balance Sheet, current assets value of $</t>
        </r>
        <r>
          <rPr>
            <sz val="10"/>
            <color rgb="FF000000"/>
            <rFont val="Calibri"/>
            <family val="2"/>
            <scheme val="minor"/>
          </rPr>
          <t>162,819</t>
        </r>
        <r>
          <rPr>
            <sz val="10"/>
            <color rgb="FF000000"/>
            <rFont val="Tahoma"/>
            <family val="2"/>
          </rPr>
          <t xml:space="preserve"> million</t>
        </r>
      </text>
    </comment>
    <comment ref="E71" authorId="0" shapeId="0" xr:uid="{BC254887-26A5-1643-BFC6-BBFAAC00BCEF}">
      <text>
        <r>
          <rPr>
            <sz val="10"/>
            <color rgb="FF000000"/>
            <rFont val="Tahoma"/>
            <family val="2"/>
          </rPr>
          <t>Utilzed Sept. 28, 2019 Consolidated Balance Sheet, non current assets value of $</t>
        </r>
        <r>
          <rPr>
            <sz val="10"/>
            <color rgb="FF000000"/>
            <rFont val="Calibri"/>
            <family val="2"/>
            <scheme val="minor"/>
          </rPr>
          <t>175,697</t>
        </r>
        <r>
          <rPr>
            <sz val="10"/>
            <color rgb="FF000000"/>
            <rFont val="Tahoma"/>
            <family val="2"/>
          </rPr>
          <t xml:space="preserve"> million</t>
        </r>
      </text>
    </comment>
    <comment ref="E72" authorId="0" shapeId="0" xr:uid="{3A52E626-04BA-C044-B8D5-D0931A1618C6}">
      <text>
        <r>
          <rPr>
            <sz val="10"/>
            <color rgb="FF000000"/>
            <rFont val="Tahoma"/>
            <family val="2"/>
          </rPr>
          <t>Utilzed Sept. 28, 2019 Consolidated Balance Sheet, total assets value of $</t>
        </r>
        <r>
          <rPr>
            <sz val="10"/>
            <color rgb="FF000000"/>
            <rFont val="Calibri"/>
            <family val="2"/>
            <scheme val="minor"/>
          </rPr>
          <t>338,516</t>
        </r>
        <r>
          <rPr>
            <sz val="10"/>
            <color rgb="FF000000"/>
            <rFont val="Tahoma"/>
            <family val="2"/>
          </rPr>
          <t xml:space="preserve"> million</t>
        </r>
      </text>
    </comment>
    <comment ref="E73" authorId="0" shapeId="0" xr:uid="{C6E90667-A177-264D-9D5B-65C6DD6842B1}">
      <text>
        <r>
          <rPr>
            <sz val="10"/>
            <color rgb="FF000000"/>
            <rFont val="Tahoma"/>
            <family val="2"/>
          </rPr>
          <t>Utilzed Sept. 28, 2019 Consolidated Balance Sheet, current liabilities value of $</t>
        </r>
        <r>
          <rPr>
            <sz val="10"/>
            <color rgb="FF000000"/>
            <rFont val="Calibri"/>
            <family val="2"/>
            <scheme val="minor"/>
          </rPr>
          <t>105,718</t>
        </r>
        <r>
          <rPr>
            <sz val="10"/>
            <color rgb="FF000000"/>
            <rFont val="Tahoma"/>
            <family val="2"/>
          </rPr>
          <t xml:space="preserve"> million</t>
        </r>
      </text>
    </comment>
    <comment ref="E74" authorId="0" shapeId="0" xr:uid="{C1535335-8B2B-CB4E-A789-5F1CC1FCCD26}">
      <text>
        <r>
          <rPr>
            <sz val="10"/>
            <color rgb="FF000000"/>
            <rFont val="Tahoma"/>
            <family val="2"/>
          </rPr>
          <t>Utilzed Sept. 28, 2019 Consolidated Balance Sheet, non current liabilities value of $</t>
        </r>
        <r>
          <rPr>
            <sz val="10"/>
            <color rgb="FF000000"/>
            <rFont val="Calibri"/>
            <family val="2"/>
            <scheme val="minor"/>
          </rPr>
          <t>142,310</t>
        </r>
        <r>
          <rPr>
            <sz val="10"/>
            <color rgb="FF000000"/>
            <rFont val="Tahoma"/>
            <family val="2"/>
          </rPr>
          <t xml:space="preserve"> million</t>
        </r>
      </text>
    </comment>
    <comment ref="E75" authorId="0" shapeId="0" xr:uid="{B499E394-90CE-D14B-BBC5-4F485F17DAD8}">
      <text>
        <r>
          <rPr>
            <sz val="10"/>
            <color rgb="FF000000"/>
            <rFont val="Tahoma"/>
            <family val="2"/>
          </rPr>
          <t>Utilzed Sept. 28, 2019 Consolidated Balance Sheet, total liabilities value of $</t>
        </r>
        <r>
          <rPr>
            <sz val="10"/>
            <color rgb="FF000000"/>
            <rFont val="Calibri"/>
            <family val="2"/>
            <scheme val="minor"/>
          </rPr>
          <t>248,028</t>
        </r>
        <r>
          <rPr>
            <sz val="10"/>
            <color rgb="FF000000"/>
            <rFont val="Tahoma"/>
            <family val="2"/>
          </rPr>
          <t xml:space="preserve"> million</t>
        </r>
      </text>
    </comment>
    <comment ref="E76" authorId="0" shapeId="0" xr:uid="{B495D417-1B59-2A40-AF78-258F075D881E}">
      <text>
        <r>
          <rPr>
            <sz val="10"/>
            <color rgb="FF000000"/>
            <rFont val="Tahoma"/>
            <family val="2"/>
          </rPr>
          <t>Utilzed Sept. 28, 2019 Consolidated Balance Sheet, total shareholders' equity value of $</t>
        </r>
        <r>
          <rPr>
            <sz val="10"/>
            <color rgb="FF000000"/>
            <rFont val="Calibri"/>
            <family val="2"/>
            <scheme val="minor"/>
          </rPr>
          <t>90,488</t>
        </r>
        <r>
          <rPr>
            <sz val="10"/>
            <color rgb="FF000000"/>
            <rFont val="Calibri"/>
            <family val="2"/>
            <scheme val="minor"/>
          </rPr>
          <t xml:space="preserve"> </t>
        </r>
        <r>
          <rPr>
            <sz val="10"/>
            <color rgb="FF000000"/>
            <rFont val="Tahoma"/>
            <family val="2"/>
          </rPr>
          <t>million</t>
        </r>
      </text>
    </comment>
    <comment ref="E77" authorId="0" shapeId="0" xr:uid="{B827A160-857D-4244-BD8F-90ED758A11CB}">
      <text>
        <r>
          <rPr>
            <sz val="10"/>
            <color rgb="FF000000"/>
            <rFont val="Tahoma"/>
            <family val="2"/>
          </rPr>
          <t>Utilzed Sept. 28, 2019 Consolidated Balance Sheet, total liabilities and shareholders' equity value of $</t>
        </r>
        <r>
          <rPr>
            <sz val="10"/>
            <color rgb="FF000000"/>
            <rFont val="Calibri"/>
            <family val="2"/>
            <scheme val="minor"/>
          </rPr>
          <t>338,516</t>
        </r>
        <r>
          <rPr>
            <sz val="10"/>
            <color rgb="FF000000"/>
            <rFont val="Tahoma"/>
            <family val="2"/>
          </rPr>
          <t xml:space="preserve"> million</t>
        </r>
      </text>
    </comment>
    <comment ref="C90" authorId="0" shapeId="0" xr:uid="{1ABCD563-8BAC-6247-A64B-B65813915751}">
      <text>
        <r>
          <rPr>
            <sz val="10"/>
            <color rgb="FF000000"/>
            <rFont val="Tahoma"/>
            <family val="2"/>
          </rPr>
          <t xml:space="preserve">Could not calculate. </t>
        </r>
        <r>
          <rPr>
            <sz val="10"/>
            <color rgb="FF000000"/>
            <rFont val="Tahoma"/>
            <family val="2"/>
          </rPr>
          <t xml:space="preserve">Income </t>
        </r>
        <r>
          <rPr>
            <sz val="10"/>
            <color rgb="FF000000"/>
            <rFont val="Calibri"/>
            <family val="2"/>
            <scheme val="minor"/>
          </rPr>
          <t xml:space="preserve">statement has income before taxes and provision for income taxes and balance sheet has a note for cash paid for taxes. Yet, how do we calculate taxable income from these? </t>
        </r>
        <r>
          <rPr>
            <sz val="10"/>
            <color rgb="FF000000"/>
            <rFont val="Tahoma"/>
            <family val="2"/>
          </rPr>
          <t xml:space="preserve">
The value for cash paid for taxes/income before taxes does not match with the value for taxes provisioned/income before taxes for 2021.</t>
        </r>
      </text>
    </comment>
    <comment ref="D90" authorId="0" shapeId="0" xr:uid="{4264B2DB-13AC-3246-97E7-1062B36F075F}">
      <text>
        <r>
          <rPr>
            <sz val="10"/>
            <color rgb="FF000000"/>
            <rFont val="Calibri"/>
            <family val="2"/>
            <scheme val="minor"/>
          </rPr>
          <t>Could not calculate. Income statement has income before taxes and provision for income taxes and balance sheet has a note for cash paid for taxes. Yet, how do we calculate taxable income from these? 
The value for cash paid for taxes/income before taxes does not match with the value for taxes provisioned/income before taxes for 2021.</t>
        </r>
        <r>
          <rPr>
            <sz val="10"/>
            <color rgb="FF000000"/>
            <rFont val="Calibri"/>
            <family val="2"/>
            <scheme val="minor"/>
          </rPr>
          <t xml:space="preserve">
</t>
        </r>
      </text>
    </comment>
    <comment ref="E90" authorId="0" shapeId="0" xr:uid="{AEA42F30-8ECC-F642-8E91-24234D50E1F9}">
      <text>
        <r>
          <rPr>
            <sz val="10"/>
            <color rgb="FF000000"/>
            <rFont val="Calibri"/>
            <family val="2"/>
            <scheme val="minor"/>
          </rPr>
          <t>Could not calculate. Income statement has income before taxes and provision for income taxes and balance sheet has a note for cash paid for taxes. Yet, how do we calculate taxable income from these? 
The value for cash paid for taxes/income before taxes does not match with the value for taxes provisioned/income before taxes for 2021.</t>
        </r>
        <r>
          <rPr>
            <sz val="10"/>
            <color rgb="FF000000"/>
            <rFont val="Calibri"/>
            <family val="2"/>
            <scheme val="minor"/>
          </rPr>
          <t xml:space="preserve">
</t>
        </r>
      </text>
    </comment>
  </commentList>
</comments>
</file>

<file path=xl/sharedStrings.xml><?xml version="1.0" encoding="utf-8"?>
<sst xmlns="http://schemas.openxmlformats.org/spreadsheetml/2006/main" count="273" uniqueCount="228">
  <si>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</si>
  <si>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</si>
  <si>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</si>
  <si>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</si>
  <si>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</si>
  <si>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</si>
  <si>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</si>
  <si>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</si>
  <si>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</si>
  <si>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</si>
  <si>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</si>
  <si>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</si>
  <si>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</si>
  <si>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</si>
  <si>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</si>
  <si>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</si>
  <si>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</si>
  <si>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</si>
  <si>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</si>
  <si>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</si>
  <si>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</si>
  <si>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</si>
  <si>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</si>
  <si>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</si>
  <si>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</si>
  <si>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</si>
  <si>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</si>
  <si>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</si>
  <si>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</si>
  <si>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</si>
  <si>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</si>
  <si>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</si>
  <si>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</si>
  <si>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</si>
  <si>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</si>
  <si>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</si>
  <si>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</si>
  <si>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</si>
  <si>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</si>
  <si>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</si>
  <si>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</si>
  <si>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</si>
  <si>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</si>
  <si>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</si>
  <si>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</si>
  <si>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</si>
  <si>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</si>
  <si>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</si>
  <si>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</si>
  <si>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</si>
  <si>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</si>
  <si>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</si>
  <si>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</si>
  <si>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</si>
  <si>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</si>
  <si>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</si>
  <si>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</si>
  <si>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</si>
  <si>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</si>
  <si>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</si>
  <si>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</si>
  <si>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</si>
  <si>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</si>
  <si>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</si>
  <si>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</si>
  <si>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</si>
  <si>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</si>
  <si>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</si>
  <si>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</si>
  <si>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</si>
  <si>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</si>
  <si>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</si>
  <si>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</si>
  <si>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</si>
  <si>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</si>
  <si>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</si>
  <si>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</si>
  <si>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</si>
  <si>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</si>
  <si>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</si>
  <si>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</si>
  <si>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</si>
  <si>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</si>
  <si>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</si>
  <si>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</si>
  <si>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</si>
  <si>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</si>
  <si>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</si>
  <si>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</si>
  <si>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</si>
  <si>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</si>
  <si>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</si>
  <si>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</si>
  <si>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</si>
  <si>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</si>
  <si>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</si>
  <si>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</si>
  <si>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</si>
  <si>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</si>
  <si>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Profitability</t>
  </si>
  <si>
    <t>Solvency/ debt management</t>
  </si>
  <si>
    <t>Asset utilization</t>
  </si>
  <si>
    <t>Investor/market ratios</t>
  </si>
  <si>
    <t>Enterprise value to EBITDA (EV/EBITDA)</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</si>
  <si>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</si>
  <si>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</si>
  <si>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</si>
  <si>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</si>
  <si>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</si>
  <si>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</si>
  <si>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</si>
  <si>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</si>
  <si>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</si>
  <si>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Current ratio (Current Assets/ Current Liabilities)</t>
  </si>
  <si>
    <t>Cash Ratio (Cash &amp; cash equivalents)/Current Liabilities</t>
  </si>
  <si>
    <t>ability to cover its short-term liabilities with its short-term assets finanical health &amp; ability to meet obligaitons 12 months</t>
  </si>
  <si>
    <t>ability to cover short-term liabilities with its most liquid assets- includes cash &amp; cash equivalent, marketable securities &amp; accounts receivable-  acid-test ratio</t>
  </si>
  <si>
    <t>ability to cover its short-term liabilities with  most liquid assets - only cash &amp; equivalents.</t>
  </si>
  <si>
    <t>Cash Ratio&lt; 1, may signal liquidity issues</t>
  </si>
  <si>
    <t>Quick Ratio&lt; 1, may signal liquidity issues</t>
  </si>
  <si>
    <t>Current Ratio&lt; 1, may signal liquidity issues</t>
  </si>
  <si>
    <t>*Quick Ratio (Current Assets-Inventory-Prepaid Expenses-Other Current NonLiquid Assets)/Current Liabilities</t>
  </si>
  <si>
    <t>*Defensive Interval (Cash &amp; cash equivalents + Marketable Securities + Receivables + Other Current Liquid Assets)/ (Total operating expenses/365)</t>
  </si>
  <si>
    <t>* With the assumption that other current assets are liquid.</t>
  </si>
  <si>
    <t>ability to withstand economic downturns or periods of financial stress.- how long a company can sustain its operations or meet its financial obligations using its liquid assets-  the number of days a company's liquid assets can cover its average daily operating expenses- defensive period</t>
  </si>
  <si>
    <t>average number of days it takes to sell inventory. how long it takes for a company to sell its inventory. a key indicator of inventory management efficiency. how well they are managing their stock-  lower number of inventory days generally indicates efficient inventory management- days inventory outstanding (DIO) - sometimes if beginning inventory- previous year end inventory number is not available than calculate it wiwth beginning inventory = ending inventory - change of inventory as in 2020.</t>
  </si>
  <si>
    <t>average number of days it takes to collect payment from customers after a sale. average number of days it takes for a company to collect payments from its customers after a sale is made- provides insight into the effectiveness of a company's credit and collection policies- Cash Flow: A lower number of receivable days indicates that a company is collecting payments more quickly, which is beneficial for cash flow. A higher number of receivable days suggests that it takes longer to collect payments, which might indicate potential issues with the credit control or collection processes.
Credit Policy: This metric can reflect the effectiveness of the company's credit policies and collection efforts. Longer receivable days might suggest lenient credit terms or ineffective collection procedures.
Customer Relationship: It also provides insights into customer payment behaviors. Companies with longer receivable days might need to evaluate their credit terms or follow up on overdue accounts more effectively.
In summary, receivable days is an important metric for understanding how efficiently a company manages its accounts receivable and how quickly it is able to convert sales into cash. Days Sales Outstanding (DSO)</t>
  </si>
  <si>
    <t>average number of days it takes to pay suppliers or creditors. average number of days a company takes to pay its suppliers or creditors after receiving an invoice, how effectively a company manages its accounts payable and its liquidity position- Liquidity Management: A higher DPO means a company is taking longer to pay its suppliers, which could indicate better cash flow management but might also strain supplier relationships. A lower DPO might indicate a company is paying its suppliers quickly, which could be a sign of strong liquidity but might also mean missing out on potential credit terms.
Supplier Relationships: Maintaining a balance between favorable payment terms and good relationships with suppliers is crucial. Extended payable days might negatively affect supplier relationships if not managed well.
Cash Flow: Payable days help in understanding how well a company is managing its working capital and cash flow.
In summary, payable days is a key metric for assessing how efficiently a company manages its accounts payable and its overall liquidity position - Days Payable Outstanding (DPO)</t>
  </si>
  <si>
    <t>Net trading cycle (Inventory Days + Receivable Days - Payable Days)</t>
  </si>
  <si>
    <t>1.5, 1.7 The numbers do not look right. Pls check.</t>
  </si>
  <si>
    <t>measures the time it takes for a company to convert its investments in inventory and receivables into cash flows from sales, the efficiency of a company's working capital management and its ability to generate cash from its operations - Cash Flow Management: A shorter Net Trading Cycle indicates that a company is efficiently managing its inventory and receivables and is able to convert these into cash quickly. Conversely, a longer cycle might suggest inefficiencies and potential liquidity issues.
Operational Efficiency: It reflects how well a company is managing its working capital and its overall operational efficiency.
Working Capital Needs: A longer cycle means more capital is tied up in the working capital, which could impact liquidity and require additional financing.
In summary, the Net Trading Cycle provides valuable insights into how effectively a company manages its inventory, receivables, and payables, and how efficiently it converts its investments into cash.
Cash Conversion Cycle or Net Operating Cycle</t>
  </si>
  <si>
    <t>Inventory Days (((Beginning inventory + ending inventory)/2 ) / Cost of Goods Sold per Day)</t>
  </si>
  <si>
    <t>Payable Days (Average Accounts payable/ Cost of Goods Sold Per Day or Cost of Purchases Per Day)</t>
  </si>
  <si>
    <t>Receivable Days (Average Accounts Receivable / Total Revenue or Sales per Day)</t>
  </si>
  <si>
    <t>To calculate average inventory, receivables or payable, took number of previous year as beginning ans current year as end then averaged</t>
  </si>
  <si>
    <t>Working Capital as a % of Sales (Working Capital / Total Sales) X100</t>
  </si>
  <si>
    <t>Working Capital (Current Assets - Current Liabilities)</t>
  </si>
  <si>
    <t>Working Capital as a % of Sales is a valuable metric for understanding how much of a company's sales revenue is utilized to manage working capital, highlighting the efficiency of its operations and liquidity management. Significance of Working Capital as a % of Sales:
Operational Efficiency:
A lower percentage indicates that a smaller portion of sales revenue is tied up in working capital, which could suggest efficient management of inventory, receivables, and payables.
A higher percentage indicates that more sales revenue is tied up in working capital, which could suggest potential inefficiencies or high levels of inventory and receivables.
Liquidity and Cash Flow:
Companies with a high working capital percentage might face liquidity issues or be less agile in managing cash flows. Conversely, a low percentage may indicate strong cash flow management.
Benchmarking:
Comparing this ratio with industry peers can provide insights into how well the company is managing its working capital relative to competitors.
Growth and Investment:
A lower working capital as a percentage of sales might reflect better utilization of assets and could indicate potential for growth or investment opportunities.</t>
  </si>
  <si>
    <t>Gross margin %  (Total Sales - COGS)/Total Sales</t>
  </si>
  <si>
    <t>critical metric for assessing a company’s ability to generate profit from its sales before accounting for other expenses. It provides insights into pricing strategies, cost management, and overall operational efficiency. Investors and analysts often use gross margin to evaluate a company’s financial performance and compare it with industry peers. Significance of Gross Margin:
Profitability:
Gross Margin measures the profitability of a company’s core business activities before accounting for operating expenses, interest, taxes, and other non-operational costs.
Operational Efficiency:
A higher gross margin indicates that a company retains a larger percentage of sales revenue after covering direct production costs, which can be a sign of efficient production processes and strong pricing power.
Pricing and Cost Control:
It reflects how well a company can manage its production costs and pricing strategy. Companies with high gross margins can often afford to invest in growth or handle market fluctuations better.
Financial Health:
Consistent or improving gross margins are generally seen as a positive indicator of a company’s financial health and ability to generate profits from its core operations.
Comparison:
Gross margin can be used to compare the profitability of companies within the same industry, as it shows how much of each dollar of sales is left over to cover other expenses and contribute to profit.</t>
  </si>
  <si>
    <t>EBITDA margin (EBITDA/Total Revenue)/100</t>
  </si>
  <si>
    <t>operational efficiency and profitability. It is particularly useful for comparing companies within the same industry and evaluating their ability to generate operating profits. Significance of EBITDA Margin:
Operating Performance:
EBITDA Margin provides a clear picture of a company's operational efficiency by focusing on earnings generated from core business activities without the influence of financial structure, taxes, and non-cash accounting items.
Comparison:
It allows for comparison of profitability across companies and industries by eliminating the effects of different financing structures, tax rates, and depreciation policies. This makes it easier to compare companies with varying capital structures and tax strategies.
Profitability Insight:
A higher EBITDA margin indicates a company has strong operational efficiency and is able to convert a significant portion of its revenue into operating profit. Conversely, a lower EBITDA margin may signal inefficiencies or higher operating costs.
Investment Analysis:
Investors and analysts use EBITDA margin to assess the profitability and financial health of a company. It helps in evaluating how effectively a company manages its operations to generate profits before considering non-operating costs.
Cash Flow Indicator:
EBITDA Margin is often used as a proxy for cash flow from operations, as EBITDA excludes non-cash expenses and provides an estimate of cash generated from core business activities.</t>
  </si>
  <si>
    <t>EBITDA (Net Income+Interest Expense+Taxes+Depreciation+Amortization or Operating Income+Depreciation+Amortization)</t>
  </si>
  <si>
    <t>-</t>
  </si>
  <si>
    <t>2.2 EBITDA two different calculations and each yields different EBITDA Values</t>
  </si>
  <si>
    <t>EBIT  (Operating Income or Total Revenue−Operating Expenses or Net Income+Interest Expense+Taxes)</t>
  </si>
  <si>
    <t>profit generated from core business operations- clear view ofoperational efficiency and profitability. Valuation and Analysis:
EBIT is used in various valuation metrics, such as the EV/EBIT (Enterprise Value to EBIT) multiple, to assess the value of a company relative to its operating income.
Financial Health:
A strong EBIT indicates that a company is generating substantial earnings from its core activities, contributing positively to its overall financial health.
Debt and Credit Analysis:
EBIT is used in debt covenants and credit analysis to evaluate a company's ability to cover interest payments and other financial obligations.
Limitations of EBIT:
Excludes Non-Operating Items:
EBIT does not account for non-operating income or expenses, which can impact overall profitability.
Excludes Interest and Taxes:
While it provides a view of operational performance, EBIT does not reflect the costs associated with financing and tax obligations, which are crucial for understanding net profitability.
Not a Cash Flow Metric:
EBIT is a measure of profitability, not cash flow. It does not account for changes in working capital or capital expenditures, which are important for understanding cash generation.
In summary, EBIT is a key metric for evaluating a company's operational performance and profitability by focusing on earnings generated from core business activities before interest and taxes. It provides valuable insights into operational efficiency and is widely used in financial analysis and valuation.</t>
  </si>
  <si>
    <t>Operating Profitability:
EBIT Margin measures a company's ability to generate operating profits from its revenue before considering interest and tax expenses. A higher EBIT Margin indicates better profitability and operational efficiency.
Operational Efficiency:
It provides insights into how efficiently a company manages its core business operations and controls its operating costs relative to its revenue.
Comparison:
EBIT Margin allows for comparison of operating performance across companies and industries, regardless of their capital structure and tax strategies. This helps in evaluating companies on an operational basis.
Profitability Analysis:
Investors and analysts use EBIT Margin to assess a company’s profitability and operational performance. It helps in understanding how much profit is generated from each dollar of revenue.
Financial Health:
A consistently high or improving EBIT Margin can signal a strong competitive position, effective cost management, and operational efficiency, contributing to overall financial health.
Limitations of EBIT Margin:
Excludes Interest and Taxes:
EBIT Margin does not account for interest expenses or tax obligations, which are significant factors in a company’s overall profitability and financial performance.
Non-Operating Items:
EBIT does not include non-operating income or expenses, which can also impact a company’s overall profitability.
Industry Variability:
Different industries have varying norms for EBIT margins, so comparisons should ideally be made within the same industry or sector.
In summary, EBIT Margin is a key indicator of a company's operating profitability and efficiency, showing how effectively it can convert revenue into operating profit. It is useful for assessing operational performance and making comparisons between companies, but should be considered alongside other financial metrics for a comprehensive evaluation of a company’s financial health.</t>
  </si>
  <si>
    <t>EBIT margin (EBIT/Total Revenue)*100</t>
  </si>
  <si>
    <t>Net margin (Net income /Total Revenue*100)</t>
  </si>
  <si>
    <t>percentage of net income generated from a company's total revenue. It indicates how much of each dollar of revenue translates into profit after accounting for all expenses, including operating costs, interest, taxes, and other expenses. Net Margin provides insight into the overall profitability of a company. Significance of Net Margin:
Overall Profitability:
Net Margin provides a comprehensive view of a company’s profitability by considering all expenses, including operating, financial, and tax-related costs. It indicates how effectively a company can convert revenue into actual profit.
Financial Health:
A higher Net Margin signifies strong financial health and operational efficiency, showing that a company retains a larger portion of revenue as profit. A lower Net Margin may indicate higher costs or lower pricing power.
Comparison:
Net Margin allows for comparison between companies within the same industry, as it reflects how well a company performs in terms of profitability relative to its revenue.
Investment Decisions:
Investors use Net Margin to assess the attractiveness of a company’s stock. A consistently high or improving Net Margin can make a company more appealing to investors seeking profitable opportunities.
Operational and Strategic Insights:
Changes in Net Margin can indicate shifts in operational efficiency, cost management, pricing strategies, or changes in revenue streams. It helps in evaluating the effectiveness of business strategies and operational decisions.
Limitations of Net Margin:
Impact of Non-Recurring Items:
Net Margin can be affected by non-recurring items such as one-time gains or losses, which may not accurately reflect ongoing profitability.
Tax and Interest Variability:
Net Margin incorporates the effects of interest and tax expenses, which can vary significantly between companies based on their financial and tax situations.
Comparability Issues:
While Net Margin allows for industry comparison, companies with different business models or capital structures may show different margins, so comparisons should be made with caution.
In summary, Net Margin is a key indicator of a company’s overall profitability, showing how efficiently it turns revenue into net income. It is crucial for evaluating financial performance, making investment decisions, and comparing profitability across companies and industries.</t>
  </si>
  <si>
    <t>Debt to equity (D/E) (Total liabilities/shareholder's equity)</t>
  </si>
  <si>
    <t>total liabilities to its shareholders' equity. It indicates the proportion of debt used to finance the company’s assets relative to the equity provided by shareholders. This ratio helps assess the financial risk and stability of a company. 
Debt to Equity Ratio is a financial metric that measures a company's financial leverage by comparing its total liabilities to its shareholders' equity. It indicates the proportion of debt used to finance the company’s assets relative to the equity provided by shareholders. This ratio helps assess the financial risk and stability of a company.
DE=2 means the company has $2 of debt for every $1 of equity.
Significance of Debt to Equity Ratio:
Financial Leverage:
The Debt to Equity Ratio indicates how much debt a company is using to finance its assets relative to equity. A higher ratio suggests higher financial leverage and greater reliance on debt, while a lower ratio indicates less leverage and a stronger equity position.
Risk Assessment:
A higher ratio may signal higher financial risk, as the company has a greater proportion of debt relative to equity. This can lead to increased interest expenses and higher vulnerability to economic downturns. Conversely, a lower ratio generally suggests a lower risk of default and a more stable financial position.
Capital Structure:
It helps in understanding the company’s capital structure and how it finances its operations and growth. A balanced capital structure typically includes a mix of debt and equity to optimize financing costs and risk.
Investor Perspective:
Investors use the Debt to Equity Ratio to assess the risk associated with investing in a company. High levels of debt may lead to higher returns but also higher risk, while lower debt levels may indicate more conservative financial management.
Creditworthiness:
Lenders and credit rating agencies evaluate the Debt to Equity Ratio to determine the company’s ability to repay debt. A higher ratio may lead to higher borrowing costs or difficulty in obtaining financing.
Limitations of Debt to Equity Ratio:
Industry Variation:
The ideal Debt to Equity Ratio can vary widely between industries. Capital-intensive industries, like utilities or manufacturing, may have higher ratios, while technology or service industries may have lower ratios. Comparing ratios across industries may not provide meaningful insights.
Debt Composition:
The ratio does not distinguish between types of debt (e.g., short-term vs. long-term, secured vs. unsecured) or the terms of the debt, which can impact financial risk.
Economic Conditions:
Economic conditions and market volatility can influence the implications of the Debt to Equity Ratio. A high ratio may be more concerning during economic downturns than in stable periods.
In summary, the Debt to Equity Ratio is a critical measure of a company's financial leverage and risk, providing insights into how much debt is used relative to equity in financing the company’s assets. It helps in evaluating financial stability, capital structure, and risk, and is an important consideration for investors, lenders, and financial analysts.</t>
  </si>
  <si>
    <t>Debt to total assets (Total liabilities/total assets)</t>
  </si>
  <si>
    <t>how much of the company's assets are funded by borrowing, as opposed to equity. Significance of Debt to Total Assets Ratio:
Leverage and Risk:
A higher ratio indicates a greater proportion of assets financed by debt, which can be riskier because the company has more obligations to repay. This might also mean higher interest costs and financial risk.
A lower ratio suggests that a smaller portion of assets is financed by debt, indicating a more conservative approach with potentially lower financial risk.
Financial Health:
The ratio helps assess the financial health and stability of a company. Companies with a high ratio might be more vulnerable to economic downturns or rising interest rates.
Creditworthiness:
Lenders and investors use this ratio to evaluate the risk of lending to or investing in a company. A high ratio may lead to higher borrowing costs or difficulties in securing additional financing.
Asset Financing:
It shows how assets are financed, providing insights into the company's capital structure. Understanding whether assets are more debt-financed or equity-financed helps in assessing the overall risk and financial strategy.
Limitations of Debt to Total Assets Ratio:
Industry Differences:
Different industries have varying norms for this ratio. Capital-intensive industries might have higher ratios compared to technology firms, so comparisons should ideally be made within the same industry.
Debt Composition:
The ratio does not distinguish between types of debt (e.g., short-term vs. long-term) or the terms of the debt, which can affect financial risk.
Economic Conditions:
Economic conditions can influence the implications of the ratio. A high ratio might be more concerning during economic downturns.
In summary, the Debt to Total Assets Ratio helps understand what portion of a company’s assets is financed through debt. It provides insights into the company’s leverage, financial risk, and overall financial stability.</t>
  </si>
  <si>
    <t>Long-term debt to capital (Long-term debt/(Long-term debt + Shareholders' equity))</t>
  </si>
  <si>
    <t>how much of the company's capital structure is made up of long-term debt (over 1year- so noncurrent portion of long-term debt)  compared to equity and other forms of financing. It helps assess the company's financial leverage and long-term financial stability. Significance of Long-Term Debt to Capital Ratio:
Financial Leverage:
This ratio measures the proportion of long-term debt used to finance the company’s capital structure. A higher ratio indicates a greater reliance on long-term debt, which can increase financial leverage and risk.
Financial Stability:
A lower ratio suggests that the company relies more on equity or other forms of financing rather than long-term debt, which can indicate a more stable financial position and less risk of default.
Capital Structure:
It provides insight into the company’s capital structure and how it is financed. Understanding the mix of long-term debt and equity helps in evaluating the company’s financial strategy and risk profile.
Creditworthiness:
Lenders and investors use this ratio to assess the risk associated with the company’s long-term debt obligations. A high ratio might suggest higher risk, which could affect borrowing costs and access to additional financing.
Investment Analysis:
Investors use this ratio to evaluate the company's risk and return profile. A high ratio may indicate higher financial risk, while a lower ratio could signify a more conservative and stable approach to financing.
Limitations of Long-Term Debt to Capital Ratio:
Industry Differences:
The ideal ratio can vary between industries. Capital-intensive industries may have higher ratios compared to technology or service industries. Comparisons are best made within the same industry.
Debt Composition:
The ratio does not account for the terms or types of long-term debt, which can impact financial stability and risk.
Economic Conditions:
Economic conditions and market factors can influence the implications of the ratio. The ability to manage long-term debt effectively can be affected by changes in interest rates and economic conditions.
In summary, the Long-Term Debt to Capital Ratio helps assess the proportion of long-term debt in a company’s capital structure. It provides valuable insights into financial leverage, stability, and the overall approach to managing long-term financing and risk.</t>
  </si>
  <si>
    <t>Times interest earned (EBIT/Interest expense or Operating income/Interest expense)</t>
  </si>
  <si>
    <t>ability to meet its interest obligations on debt. It is also known as the Interest Coverage Ratio. The ratio indicates how many times a company’s earnings before interest and taxes (EBIT) can cover its interest expenses- nterpretation:
High Ratio:
A higher TIE ratio indicates that the company generates sufficient EBIT to cover its interest expenses multiple times. This suggests financial stability and a lower risk of defaulting on interest payments.
Low Ratio:
A lower TIE ratio means the company may struggle to cover its interest payments with its operating income, indicating higher financial risk and potential solvency issues. Significance:
Assessing Financial Health:
TIE helps assess how well a company can handle its debt obligations. A higher ratio suggests a more comfortable position to pay interest from operating income.
Creditworthiness:
Lenders and investors use TIE to evaluate the risk associated with lending to or investing in a company. A higher ratio indicates lower risk.
Operational Efficiency:
The ratio provides insight into operational efficiency and profitability, showing how effectively the company is managing its earnings relative to its debt.
Summary:
The Times Interest Earned (TIE) ratio measures a company’s ability to cover its interest expenses with its earnings before interest and taxes. It is calculated by dividing EBIT by interest expense. A higher ratio indicates a stronger ability to meet interest obligations, while a lower ratio signals potential financial difficulties.- Times Interest Earned (TIE)</t>
  </si>
  <si>
    <t>3.4 No Interest Expense was found under income statement. Hence took, cash paid for interest value.</t>
  </si>
  <si>
    <t>ability to cover its total debt service (principal and interest payments) with its operating income. Interpretation: A DSCR greater than 1 indicates that the company generates sufficient income to cover its debt service. A ratio below 1 suggests potential difficulties in meeting debt obligations. Summary:
Debt coverage metrics are crucial for evaluating a company’s ability to manage and service its debt. They provide insights into the company’s financial health, operational efficiency, and risk profile concerning debt obligations. Key metrics include the Debt Service Coverage Ratio (DSCR), Interest Coverage Ratio, Cash Flow Coverage Ratio, and Debt-to-EBITDA Ratio. Each metric serves to measure different aspects of a company’s ability to meet its debt payments and maintain financial stability. Key Debt Coverage Metrics:
Debt Service Coverage Ratio (DSCR):
Definition: The Debt Service Coverage Ratio measures a company’s ability to cover its total debt service (principal and interest payments) with its operating income.
Formula: DSCR = Operating Income/ Total Debt Service 
Operating Income (or EBIT): Earnings before interest and taxes.
Total Debt Service: The sum of principal and interest payments due within a specific period.
Interpretation: A DSCR greater than 1 indicates that the company generates sufficient income to cover its debt service. A ratio below 1 suggests potential difficulties in meeting debt obligations.
Interest Coverage Ratio:
Definition: The Interest Coverage Ratio assesses how easily a company can pay interest on its outstanding debt using its earnings before interest and taxes (EBIT).
Formula: Interest Coverage Ratio = EBIT/ Interest Expense
Interpretation: A higher ratio indicates that the company comfortably covers its interest expenses with its operating income. A lower ratio suggests potential challenges in managing interest payments.
Cash Flow Coverage Ratio:
Definition: This ratio measures a company's ability to cover its debt payments with its cash flow from operations.
Formula: Cash Flow Coverage Ratio = Cash Flow from Operations / Total Debt Service
Interpretation: This ratio provides insight into the company's cash flow efficiency in covering debt obligations. A ratio above 1 indicates that cash flow from operations is sufficient to cover debt service.
Debt-to-EBITDA Ratio:
Definition: This ratio compares a company's total debt to its earnings before interest, taxes, depreciation, and amortization (EBITDA).
Formula: Debt-to-EBITDA Ratio = Total Debt/ EBITDA
Interpretation: A lower ratio indicates lower debt relative to earnings, suggesting better debt coverage. A higher ratio implies more debt relative to earnings, which may be a concern for debt service capability.</t>
  </si>
  <si>
    <t>3.5 Total debt service calculation: No principal debt nor interest expense was found. Took term debt under current liabilties plus cash paid for interest.</t>
  </si>
  <si>
    <t>Debt coverage (DSCR) (Operating income/Total debt service) Total debt service= Principal in 1yr + interest</t>
  </si>
  <si>
    <t>FCFE (Operating Cash Flow−Capital Expenditures, or Net Income+Non-Cash Expenses−Changes in Working Capital−Capital Expenditures)</t>
  </si>
  <si>
    <t>critical measure of a company’s financial health and operational efficiency. It reflects the cash available after covering capital expenditures needed to sustain or grow the business. Positive FCF indicates that the company can support its investment activities, pay down debt, or return capital to shareholders, making it a key metric for investors and financial analysts.</t>
  </si>
  <si>
    <t>Free cash flow (FCFE) per share (Free cash flow/Number of outstanding shares)</t>
  </si>
  <si>
    <t>3.6 In calculating FCFE, no Capex was present in Cash Flow, took Payments for acquisition of property, plant and equipment. For outstanding shares, basic shares was used since it is the norm.</t>
  </si>
  <si>
    <t xml:space="preserve">amount of free cash flow available to each share of a company’s stock. It provides insight into how much cash is generated from operations, after accounting for capital expenditures, on a per-share basis. This metric helps investors assess the cash-generating ability of a company relative to its stock price, and it is often used to evaluate a company’s financial health and value.
Valuation Metrics: Many valuation metrics, such as Free Cash Flow per Share and Price-to-Earnings (P/E) ratio, use the number of outstanding shares.
Having $8.19 Free Cash Flow per Share means that, on a per-share basis, the company generates $8.19 in free cash flow. Free Cash Flow (FCF) represents the cash a company has left after deducting capital expenditures from its operating cash flow. It is a key indicator of the company’s financial health and its ability to generate cash that can be used for various purposes such as paying dividends, repurchasing shares, reducing debt, or reinvesting in the business.
What It Means:
Cash Generation Efficiency:
$8.19 FCF per Share indicates how much free cash is available for each share of stock. This amount is useful for assessing the company's ability to generate cash on a per-share basis.
Valuation and Investment:
Investors use FCF per share to evaluate the attractiveness of a company’s stock. Higher FCF per share suggests a company is generating significant cash, which could be used for dividends or other shareholder returns. It may also indicate the stock is undervalued if the FCF per share is high relative to the stock price.
Dividend and Share Buybacks:
A higher FCF per share suggests that the company has more capacity to pay dividends or repurchase shares. It provides a cushion for returning value to shareholders or investing in growth opportunities.
Financial Health:
Positive and substantial FCF per share implies the company is in good financial health, as it is able to generate cash after funding capital expenditures. This is a positive sign of operational efficiency and profitability.
$8.19 Free Cash Flow per Share means that the company generates $8.19 in free cash flow for each share of its stock. This is a strong indicator of financial health and cash generation capability, suggesting that the company is in a good position to return value to shareholders, invest in growth, or manage its debt.
</t>
  </si>
  <si>
    <t>Total asset turnover (Net sales/Average total assets)</t>
  </si>
  <si>
    <t>how efficiently a company uses its assets to generate sales. It indicates the amount of revenue a company earns for each dollar of assets it owns. This ratio helps assess the effectiveness of a company's asset management and operational efficiency.
Net Sales: The total revenue from goods sold or services provided during a specific period, after deducting returns, allowances, and discounts.
Average Total Assets: The average of the total assets at the beginning and end of the period.
Interpretation:
Efficiency Indicator:
A higher total asset turnover ratio indicates that the company is using its assets more efficiently to generate revenue. This suggests strong operational efficiency and effective asset management.
Industry Comparison:
The ratio is best used for comparing companies within the same industry, as asset usage and efficiency can vary widely between different sectors.
Revenue Generation:
A low total asset turnover ratio may indicate that a company is not effectively utilizing its assets to generate revenue, which could be due to underperforming assets or inefficiencies in operations.</t>
  </si>
  <si>
    <t>4.1 In calculating 2020 average total assets, took ending total assets- changes in assets</t>
  </si>
  <si>
    <t>Fixed asset turnover (Net sales/Average fixed assets)</t>
  </si>
  <si>
    <t>4.2 In calculating fixed assets, Property, plant and equipment, net under noncurrent assets is taken. Further, to calculate beginning of period fixed assets, end of period fixed assets - change in fixed assets was taken. For change in fixed assets, payments for acquisition of PP&amp;E minus proceeds for disposals or sales of PP&amp;E was utilized. But proceeds for disposals or sales of PP&amp;E does not exist.</t>
  </si>
  <si>
    <t xml:space="preserve">how efficiently a company uses its fixed assets to generate sales. It reflects how well the company is utilizing its investment in property, plant, equipment, and other long-term assets to produce revenue.
Net Sales: The total revenue from goods sold or services provided during a specific period, after deducting returns, allowances, and discounts.
Average Fixed Assets: The average value of fixed assets at the beginning and end of the period.
Interpretation:
Efficiency Indicator:
A higher fixed asset turnover ratio indicates that the company is using its fixed assets more efficiently to generate revenue. It suggests that the company is effectively utilizing its long-term assets to support sales growth.
Comparative Analysis:
This ratio is useful for comparing companies within the same industry, as asset utilization can vary significantly between sectors. For instance, capital-intensive industries like manufacturing might have lower ratios compared to service-based industries.
Asset Management:
A lower fixed asset turnover ratio might indicate that the company has invested heavily in fixed assets but is not generating proportionate sales, possibly due to underutilized or inefficient assets.
A higher ratio indicates more efficient use of fixed assets, while a lower ratio suggests potential inefficiencies or underutilization of assets. This ratio is particularly useful for evaluating companies with significant investments in long-term assets. Further, to calculate beginning of period fixed assets, end of period fixed assets - change in fixed assets was taken. For change in fixed assets, payments for acquisition of PP&amp;E minus proceeds for disposals or sales of PP&amp;E was utilized. </t>
  </si>
  <si>
    <t>Inventory turnover (Cost of goods sold/Average inventory)</t>
  </si>
  <si>
    <t>how efficiently a company manages its inventory by calculating how often inventory is sold and replaced over a specific period. This ratio helps assess the effectiveness of inventory management and can provide insights into how well a company is converting its inventory into sales.
Interpretation:
Efficiency Indicator:
A higher inventory turnover ratio indicates that inventory is being sold and replaced quickly, suggesting effective inventory management and strong sales.
A lower ratio might suggest overstocking or slow-moving inventory, which can tie up capital and increase holding costs.
Industry Comparison:
Inventory turnover ratios can vary widely by industry. For example, industries with perishable goods, like food and beverage, typically have higher turnover ratios compared to industries with durable goods.
Inventory Management:
Monitoring inventory turnover helps companies optimize inventory levels, reduce excess stock, and improve cash flow.
A higher ratio indicates efficient inventory management and strong sales, while a lower ratio may suggest excess inventory or slow-moving products. This ratio is crucial for understanding inventory efficiency and optimizing stock levels.</t>
  </si>
  <si>
    <t>Return on assets (ROA) (Net income/Average total assets)</t>
  </si>
  <si>
    <t>how efficiently a company utilizes its assets to generate profit. It indicates the percentage of profit a company earns for each dollar of assets it owns. ROA is a key indicator of asset efficiency and overall profitability. Interpretation:
Efficiency Indicator:
A higher ROA indicates that the company is effectively using its assets to generate profits. It reflects good asset management and operational efficiency.
A lower ROA suggests that the company may not be utilizing its assets effectively to generate profits, which could be due to inefficiencies or higher asset costs.
Comparative Analysis:
ROA is useful for comparing companies within the same industry as asset utilization can vary significantly between different sectors.
It helps investors and analysts evaluate how well a company is performing relative to its asset base compared to its peers.
Trend Analysis:
Analyzing ROA trends over time can provide insights into how well a company is improving or deteriorating in terms of asset utilization and profitability. A higher ROA indicates better asset utilization and profitability, while a lower ROA may suggest inefficiencies or lower profitability. ROA is a useful metric for evaluating overall asset management and operational effectiveness.</t>
  </si>
  <si>
    <t>Price to equity (P/E) (Market price per share/earnings pershare (EPS))</t>
  </si>
  <si>
    <t xml:space="preserve">key financial metric used to evaluate the valuation of a company's stock. The P/E ratio measures the price investors are willing to pay for each dollar of a company's earnings. It helps assess if a stock is overvalued, undervalued, or fairly valued relative to its earnings- Market Price per Share: The current trading price of one share of the company's stock.
Earnings per Share (EPS): The portion of a company's profit allocated to each outstanding share of common stock, calculated as:
Earnings per Share (EPS)
=
Net Income
Weighted Average Shares Outstanding
Earnings per Share (EPS)= 
Weighted Average Shares Outstanding
Net Income
​
Interpretation:
Valuation Indicator:
A high P/E ratio may indicate that the stock is overvalued, or investors expect high growth rates in the future.
A low P/E ratio might suggest that the stock is undervalued or that the company is experiencing difficulties.
Growth Expectations:
Companies with high growth potential often have higher P/E ratios because investors are willing to pay a premium for expected future earnings.
Established companies with stable earnings might have lower P/E ratios.
Comparative Analysis:
The P/E ratio is useful for comparing companies within the same industry. Differences in P/E ratios among competitors can provide insights into market expectations and relative valuations.
Market Sentiment:
The P/E ratio reflects market sentiment and investor expectations about a company's future performance. High P/E ratios can indicate optimism, while low P/E ratios might reflect pessimism or perceived risks.
In this example, the P/E ratio is 25, meaning investors are willing to pay $25 for every dollar of earnings.
Summary:
The Price-to-Earnings (P/E) ratio evaluates a company's stock price relative to its earnings per share. It is calculated by dividing the market price per share by the EPS. The P/E ratio helps investors determine whether a stock is overvalued or undervalued compared to its earnings and provides insights into market expectations and growth prospects.
Price-to-Earnings (P/E) ratio
</t>
  </si>
  <si>
    <t>to calculate the weighted average shares outstanding from basic shares, you need to account for changes in the number of shares throughout the reporting period, such as stock issuances, buybacks, or stock splits. The weighted average shares outstanding provide a more accurate representation of the number of shares in circulation over the period and is used for calculating earnings per share (EPS).
Here’s a step-by-step guide to calculating the weighted average shares outstanding:
Steps to Calculate Weighted Average Shares Outstanding:
Identify Changes in Share Count:
Basic Shares Outstanding: The number of shares outstanding at the start of the period.
New Issuances: Shares issued during the period.
Repurchases: Shares bought back during the period.
Stock Splits/Stock Dividends: Adjustments to the share count due to stock splits or stock dividends.
Determine the Period for Each Share Count:
Share Count Periods: Determine the time periods during which each share count was in effect.
Calculate Weighted Shares for Each Period:
Multiply the number of shares outstanding during each period by the fraction of the year (or reporting period) that the shares were outstanding.
Sum the Weighted Shares:
Add up the weighted shares for all periods to get the total weighted average shares outstanding. Example Calculation:
Suppose a company had the following changes in shares outstanding over a year:
Beginning Shares Outstanding: 1,000,000 shares
Issued Shares on March 1: 200,000 shares
Repurchased Shares on September 1: 100,000 shares
Step 1: Calculate the Weighted Shares Outstanding for Each Period:
Period 1 (January 1 to February 28):
Shares Outstanding: 1,000,000
Fraction of Year: 2/12 (for two months out of twelve)
Weighted Shares: 1,000,000 × (2/12) = 166,667
Period 2 (March 1 to August 31):
Shares Outstanding: 1,200,000 (1,000,000 + 200,000 issued shares)
Fraction of Year: 6/12 (for six months out of twelve)
Weighted Shares: 1,200,000 × (6/12) = 600,000
Period 3 (September 1 to December 31):
Shares Outstanding: 1,100,000 (1,200,000 - 100,000 repurchased shares)
Fraction of Year: 4/12 (for four months out of twelve)
Weighted Shares: 1,100,000 × (4/12) = 366,667
Step 2: Calculate the Total Weighted Average Shares Outstanding:
Total Weighted Average Shares Outstanding
=
166
,
667
+
600
,
000
+
366
,
667
=
1
,
133
,
334
Total Weighted Average Shares Outstanding=166,667+600,000+366,667=1,133,334
Summary:
To calculate the weighted average shares outstanding, consider the number of shares outstanding at various points in time and adjust for any changes during the period. Multiply each share count by the portion of the year it was effective and sum these values. This approach provides a more accurate measure of shares outstanding for calculating metrics like EPS.</t>
  </si>
  <si>
    <t>Earnings per share (EPS) (Net income/Weighted average shares)</t>
  </si>
  <si>
    <t>5.2 EPS was taken as EPS based on diluted shares since such exhibits a more conservative view.</t>
  </si>
  <si>
    <t>Basic  (thousands)</t>
  </si>
  <si>
    <t>Diluted (thousands)</t>
  </si>
  <si>
    <t>Earnings per share:</t>
  </si>
  <si>
    <t>Price to book value (PBV) (Market price pershare/Book value per share)</t>
  </si>
  <si>
    <t>used to compare a company's market value to its book value. Here's a breakdown of the components:
Market Price per Share: This is the current trading price of a company's stock.
Book Value per Share: This represents the company's net asset value per share, which is calculated as total assets minus total liabilities, divided by the number of outstanding shares.
What It Indicates
P/B Ratio &lt; 1: If the P/B ratio is less than 1, it suggests that the stock is trading for less than its book value. This could indicate that the stock is undervalued or that there are concerns about the company's future performance.
P/B Ratio &gt; 1: If the P/B ratio is greater than 1, the stock is trading for more than its book value, which might suggest that the market expects future growth or has confidence in the company's performance.
Uses and Limitations
Uses: Investors use the P/B ratio to assess whether a stock is overvalued or undervalued based on its intrinsic value. It’s particularly useful for evaluating companies with substantial physical assets, like manufacturing or real estate companies.
Limitations: The P/B ratio might not be as useful for companies with significant intangible assets (like technology firms) or those with negative book values. It also doesn't account for future growth potential or earnings.
In summary, the P/B ratio helps investors gauge the relative value of a stock compared to its book value, providing insight into whether a stock might be under or overvalued based on its fundamental financial health.</t>
  </si>
  <si>
    <t>Book value per share (BV) (Total assets- Total liabilities)/Number of outshanding shares</t>
  </si>
  <si>
    <t>Dividend payout ratio (Dividend per share/ Earnings per share)</t>
  </si>
  <si>
    <t>Dividend per share (Total dividends paid/number of outstanding shares)</t>
  </si>
  <si>
    <t>amount of cash a company pays to its shareholders for each share of stock they own. Total Dividends Paid: The total amount of money a company has distributed to its shareholders in the form of dividends over a specific period (usually a year).
Number of Outstanding Shares: The total number of shares of the company that are currently held by all shareholders, excluding any shares held in the company's treasury. Investor Insight: DPS is an important metric for investors, especially those seeking income through dividends. A higher DPS indicates a higher return on investment from dividends, assuming the stock price remains constant.
Company Health: Regular and growing DPS can be a sign of a company's strong financial health and profitability. Conversely, a decrease or suspension of dividends may signal financial trouble or changes in company strategy.</t>
  </si>
  <si>
    <t>proportion of earnings paid out as dividends.</t>
  </si>
  <si>
    <t>annual dividend payment as a percentage of the stock's current price.</t>
  </si>
  <si>
    <t>Dividend yield (Dividend per share/Stock price)</t>
  </si>
  <si>
    <t>5.2. Would it be possible to calculate weighted average shares from these statement or do we need the quarterly statements for this?</t>
  </si>
  <si>
    <t>Return on equity (ROE) (Net income/Shareholders' Equity *100)</t>
  </si>
  <si>
    <t>measure a company's profitability relative to its shareholders' equity. It indicates how effectively a company is using the money invested by shareholders to generate profit. Components
Net Income: This is the company's total profit after all expenses, taxes, and interest have been deducted. It is typically found at the bottom of the income statement.
Shareholders' Equity: This is the residual interest in the assets of the company after deducting liabilities. It is found on the balance sheet and includes common stock, additional paid-in capital, retained earnings, and other equity components.
Interpretation
High ROE: A high ROE indicates that the company is effectively using shareholders' equity to generate profits. It suggests strong financial performance and efficient management.
Low ROE: A low ROE may indicate that the company is not generating sufficient profit relative to the equity capital invested by shareholders. This could be a sign of inefficiency or underlying financial problems. Factors Affecting ROE
Profitability: Higher net income generally leads to a higher ROE.
Leverage: Companies with higher financial leverage (i.e., using more debt relative to equity) might have a higher ROE, but this also increases financial risk.
Operational Efficiency: Efficient management and cost control can improve ROE by increasing net income. Comparison and Analysis
Industry Comparison: ROE is often compared to other companies within the same industry to gauge relative performance. Different industries have varying benchmarks for what constitutes a good ROE.
Trend Analysis: Examining ROE over time helps assess whether a company's profitability is improving or declining.
Conclusion
Return on Equity (ROE) is a crucial metric for evaluating how well a company utilizes shareholders' equity to generate profit. It provides insights into the company's financial health, management effectiveness, and profitability. However, it's important to consider ROE alongside other financial metrics and industry benchmarks to get a comprehensive view of a company's performance.</t>
  </si>
  <si>
    <t>Return on capital employed (ROCE) (Earnings before interest and taxes/Capital Employed  *100)</t>
  </si>
  <si>
    <t>measures a company's profitability and the efficiency with which it uses its capital. It evaluates how well a company generates profits from its capital investments. ROCE is especially useful for comparing companies within the same industry or assessing a company's performance over time. 
Earnings Before Interest and Taxes (EBIT): This is the company's operating profit, calculated before interest expenses and income taxes are deducted. It reflects the company's ability to generate profit from its operations.
Capital Employed: This is the total capital used for the company's operations and can be calculated in two ways:
Total Assets minus Current Liabilities
or Shareholders' Equity plus Long-Term Debt
Interpretation
High ROCE: A high ROCE indicates efficient use of capital, as the company is generating a significant profit relative to its capital investment. It often signifies effective management and operational efficiency.
Low ROCE: A low ROCE suggests that the company is not using its capital as effectively to generate profit. This could be due to various factors such as inefficient operations or high capital costs.
Comparison and Analysis
Industry Benchmarks: ROCE can vary significantly across different industries, so comparing ROCE with industry peers is essential for context.
Historical Performance: Analyzing ROCE trends over time helps assess whether a company's capital efficiency is improving or declining.
Factors Affecting ROCE
Operational Efficiency: Companies with effective management and cost control tend to have higher ROCE.
Capital Structure: The mix of equity and debt financing can impact ROCE. A higher proportion of debt might increase ROCE if the debt financing is used effectively, but it also adds financial risk.
Asset Utilization: Effective utilization of assets and minimizing excess capital can improve ROCE.
Conclusion
Return on Capital Employed (ROCE) is a valuable metric for evaluating how efficiently a company uses its capital to generate profits. It helps investors and managers assess the effectiveness of capital allocation and operational performance. However, it should be used in conjunction with other financial metrics and industry comparisons for a comprehensive evaluation of a company's financial health.</t>
  </si>
  <si>
    <t>Return on assets (ROA) (Net income/Total assets) * 100</t>
  </si>
  <si>
    <t>used to evaluate a company's efficiency in using its assets to generate profits. It measures how effectively a company converts its assets into net income. Components
Net Income: This is the company's total profit after all expenses, taxes, and interest have been deducted. It is found on the income statement.
Total Assets: This represents the total value of all assets owned by the company, including both current and noncurrent assets. It is found on the balance sheet. Interpretation
High ROA: A high ROA indicates that the company is efficiently using its assets to generate profit. It suggests good management and effective asset utilization.
Low ROA: A low ROA may indicate that the company is not using its assets effectively to generate profit. This could be due to various factors such as inefficiencies, high operating costs, or low revenue.
Uses and Analysis
Efficiency Measurement: ROA helps assess how well a company is managing its assets to produce earnings. It's particularly useful for comparing companies within the same industry.
Trend Analysis: Evaluating ROA over time can help identify trends in asset utilization and profitability, providing insights into whether the company’s efficiency is improving or declining.
Industry Comparison: ROA can vary significantly across different industries, so comparing ROA with industry peers is crucial for context. Some industries may inherently have higher or lower ROA due to their capital intensity.
Factors Affecting ROA
Asset Management: Efficient management of assets, such as inventory and receivables, can improve ROA.
Revenue Generation: Higher revenues from effective sales strategies can boost ROA.
Expense Control: Controlling operating expenses and maintaining good cost management practices can positively impact ROA.
Conclusion
Return on Assets (ROA) is a key indicator of how effectively a company uses its assets to generate profit. It provides valuable insights into the company's operational efficiency and management effectiveness. However, it should be analyzed alongside other financial metrics and industry benchmarks to get a comprehensive view of a company's performance.</t>
  </si>
  <si>
    <t>measure of a company's total value, often used as an alternative to market capitalization when evaluating a company's worth. It represents the total value of a business, taking into account not only its equity but also its debt and other financial obligations. EV is commonly used in financial analysis, particularly for valuation purposes, including mergers and acquisitions. Components
Market Capitalization: This is the total market value of a company's equity, calculated as: 
Market Capitalization = Share Price × Number of Outstanding Shares
Total Debt: This includes both short-term and long-term debt. It represents all the borrowed funds that the company needs to repay.
Cash and Cash Equivalents: These are the company's liquid assets that can be readily used to pay off debt or reinvest in the business. 
Interpretation
Valuation Measure: EV provides a more comprehensive measure of a company’s value than market capitalization alone because it includes debt and subtracts cash. This makes it useful for comparing companies with different capital structures.
Acquisition Analysis: In mergers and acquisitions, EV is often used to determine the value of a company as it reflects the cost to acquire the entire business, including its debt obligations but excluding its cash reserves.
Financial Ratios: EV is used in various financial ratios such as the EV/EBITDA (Earnings Before Interest, Taxes, Depreciation, and Amortization) ratio, which helps in comparing valuation multiples between companies.
Benefits of Using EV
Capital Structure Neutral: Unlike market capitalization, EV accounts for differences in capital structure. This is particularly useful when comparing companies with varying levels of debt.
Acquisition Cost: EV provides a clearer picture of what it would cost to acquire a company, including the assumption of its debt and the benefit of its cash reserves.
Conclusion
Enterprise Value (EV) is a crucial metric for evaluating a company's total value, incorporating its equity, debt, and cash. It is widely used in financial analysis, valuation, and comparison of companies, offering a more complete picture of a company's worth than market capitalization alone.</t>
  </si>
  <si>
    <t>Enterprise value (EV) (Market capitalization + Total debt - Cash and cash equivalents)</t>
  </si>
  <si>
    <t xml:space="preserve">compares a company's Enterprise Value (EV) to its Earnings Before Interest, Taxes, Depreciation, and Amortization (EBITDA). This ratio is commonly used to evaluate a company's valuation relative to its earnings potential and is useful for comparing companies within the same industry or sector.
Components
Enterprise Value (EV): Represents the total value of a company, calculated as:
EV=Market Capitalization+Total Debt−Cash and Cash Equivalents
Market Capitalization: Total market value of a company's equity.
Total Debt: Includes both short-term and long-term debt.
Cash and Cash Equivalents: Liquid assets that can offset debt.
EBITDA: Measures a company’s operating performance by focusing on its earnings from core business operations before the effects of interest, taxes, depreciation, and amortization.
Interpretation
Valuation Metric: EV/EBITDA provides an indication of how much investors are willing to pay for each dollar of EBITDA. A lower ratio might suggest that the company is undervalued relative to its earnings, while a higher ratio might indicate overvaluation.
Comparative Tool: This ratio is particularly useful for comparing companies within the same industry because it normalizes for differences in capital structure and tax environments. It provides a clearer picture of how companies are valued relative to their operational performance.
Uses and Analysis
Valuation Analysis: Investors use EV/EBITDA to assess whether a company is fairly valued compared to its earnings. It's especially useful in sectors where companies have significant depreciation and amortization expenses.
Comparison Across Companies: Since EV/EBITDA excludes interest and taxes, it allows for a more direct comparison of companies' operational performance and valuation, regardless of their financial structure.
Investment Decisions: A lower EV/EBITDA ratio may indicate a potentially undervalued company, but it should be analyzed in conjunction with other financial metrics and qualitative factors.
Limitations
Not a Comprehensive Measure: EV/EBITDA does not account for capital expenditures, changes in working capital, or non-operating income, which can impact overall financial health.
Industry Variability: The interpretation of what constitutes a high or low ratio can vary significantly across different industries.
EBITDA Limitations: EBITDA is a useful measure of operating performance but does not reflect changes in working capital or capital expenditures, which are important for assessing cash flow and financial health.
Conclusion
The EV/EBITDA ratio is a valuable tool for assessing a company's valuation relative to its earnings before interest, taxes, depreciation, and amortization. It helps investors compare companies on a more standardized basis and evaluate whether they are paying a reasonable price for the company’s earnings potential. However, it should be used alongside other financial metrics and qualitative analyses for a comprehensive view of a company’s value.
</t>
  </si>
  <si>
    <t>Calculate the following:</t>
  </si>
  <si>
    <t>Sales</t>
  </si>
  <si>
    <t>Growth rates for:</t>
  </si>
  <si>
    <t>Current assets</t>
  </si>
  <si>
    <t>Non current assets</t>
  </si>
  <si>
    <t>Current liabilities</t>
  </si>
  <si>
    <t>Non current liabilities</t>
  </si>
  <si>
    <t>company’s sales revenue is consumed by the costs associated with producing or acquiring the goods sold. This margin helps assess how efficiently a company is managing its production costs relative to its sales.
Higher COGS Margin: A higher COGS margin indicates that a larger portion of sales revenue is consumed by production costs, which might suggest lower efficiency or higher production costs. This can lead to lower gross profit margins.
Lower COGS Margin: A lower COGS margin suggests that a smaller portion of sales revenue is used for production costs, which might indicate better cost control or higher efficiency, leading to higher gross profit margins.
Uses
Efficiency Measurement: The COGS Margin helps in assessing how efficiently a company is managing its production costs relative to its sales.
Cost Control: By monitoring changes in the COGS Margin over time, companies can identify trends and take action to control or reduce production costs.
Comparative Analysis: Comparing COGS Margins across companies in the same industry helps in evaluating relative efficiency and cost management practices.
Conclusion
The COGS Margin as a percentage of Net Sales provides valuable insights into a company’s cost structure and operational efficiency. It is a key metric for understanding how much of each dollar of sales is used to cover the cost of goods sold, affecting overall profitability and financial health.</t>
  </si>
  <si>
    <t>Margins as a % of net sales for:</t>
  </si>
  <si>
    <t>what portion of a company’s sales revenue remains after subtracting the cost of goods sold (COGS). It measures how efficiently a company is producing and selling its goods relative to its revenue. Interpretation
Higher Gross Profit Margin: A higher margin indicates that a larger portion of sales revenue is available to cover operating expenses, interest, taxes, and provide profit. It generally reflects good cost control and pricing strategies.
Lower Gross Profit Margin: A lower margin suggests that a smaller portion of sales revenue is retained after covering COGS, which might indicate higher production costs or lower pricing power, leading to reduced profitability.
Uses
Operational Efficiency: The Gross Profit Margin helps assess how efficiently a company is managing production costs and generating sales.
Profitability Analysis: It is a key indicator of a company’s basic profitability and is used to evaluate its ability to produce goods or services profitably.
Comparative Analysis: Comparing gross profit margins across companies within the same industry helps evaluate relative performance and cost management.
Limitations
Excludes Operating Expenses: Gross Profit Margin does not account for operating expenses like salaries, rent, and marketing. To understand overall profitability, consider net profit margin and operating profit margin as well.
Industry Variability: Gross Profit Margins can vary significantly across different industries, so comparisons should be made within the same sector.
Conclusion
The Gross Profit Margin as a percentage of Net Sales provides a clear picture of how efficiently a company is producing and selling its products. It is a vital metric for assessing operational performance and profitability, helping stakeholders understand the proportion of sales revenue that contributes to covering other expenses and generating profit.</t>
  </si>
  <si>
    <t>measures the proportion of a company’s net sales that is spent on research and development activities. This margin provides insight into how much of a company's revenue is invested in R&amp;D, which can be an indicator of a company’s commitment to innovation and future growth.
Interpretation
High R&amp;D Operating Expense Margin: A high margin indicates that a significant portion of sales revenue is invested in R&amp;D, which may suggest a strong focus on innovation, product development, and long-term growth. It can be common in technology and pharmaceutical companies.
Low R&amp;D Operating Expense Margin: A low margin might indicate less emphasis on research and development relative to sales, which could suggest a focus on short-term profits or lower investment in future growth. It may also be indicative of industries where R&amp;D is less critical.
Uses
Innovation Assessment: The R&amp;D Operating Expense Margin helps evaluate how much a company invests in developing new products or technologies compared to its sales revenue.
Industry Comparison: Comparing R&amp;D spending across companies in the same industry can provide insights into their relative commitment to innovation and competitive positioning.
Strategic Planning: For investors and analysts, understanding R&amp;D expenditure relative to sales helps in assessing a company’s strategy and potential for future growth.
Limitations
Industry Differences: R&amp;D expenditure varies greatly between industries. For instance, technology and biotech firms typically have higher R&amp;D margins compared to consumer goods companies. Comparing companies across different sectors may not yield meaningful insights.
Not Directly Related to Revenue Generation: High R&amp;D spending does not guarantee immediate revenue or profitability. It reflects a company's investment in future capabilities and growth, which might take time to materialize.
Conclusion
The R&amp;D Operating Expense Margin as a percentage of Net Sales is a useful metric for evaluating how much of a company's revenue is allocated to research and development. It provides insights into the company’s focus on innovation and future growth potential. However, it should be analyzed in the context of industry norms and alongside other financial metrics to get a comprehensive understanding of a company’s performance and strategy.</t>
  </si>
  <si>
    <t>Selling, general and administrative (SG&amp;A)</t>
  </si>
  <si>
    <t>indicates the proportion of a company’s net sales that is used to cover its selling, general, and administrative expenses. This margin provides insight into how much of a company’s revenue is allocated to these operational costs, which can affect overall profitability. 
SG&amp;A Operating Expenses: The total expenses related to selling, general, and administrative activities. These typically include salaries and wages for sales and administrative staff, advertising expenses, office supplies, rent, utilities, and other general expenses not directly tied to production.
Net Sales: Total revenue from sales of goods or services, minus returns, allowances, and discounts.
High SG&amp;A Operating Expense Margin: A high margin indicates that a significant portion of sales revenue is allocated to SG&amp;A expenses. This may suggest higher costs associated with selling and managing the business, which could impact profitability. Companies with high SG&amp;A margins might need to find ways to improve efficiency or reduce costs.
Low SG&amp;A Operating Expense Margin: A low margin indicates that a smaller proportion of revenue is consumed by SG&amp;A expenses, which may reflect more efficient management of selling and administrative costs. It can suggest better operational efficiency and potentially higher profitability.
Uses
Cost Management: The SG&amp;A Operating Expense Margin helps assess how well a company manages its operating expenses related to selling and administration.
Profitability Analysis: By understanding SG&amp;A expenses relative to sales, investors and managers can evaluate the impact of these expenses on overall profitability.
Comparative Analysis: Comparing SG&amp;A margins across companies in the same industry provides insights into how effectively different companies manage their operational costs.
Limitations
Industry Variability: SG&amp;A expenses can vary widely between industries. For example, a technology company might have higher R&amp;D and administrative expenses compared to a retail company. Comparisons should be made within the same industry for meaningful insights.
Not Reflective of All Expenses: SG&amp;A margin only covers selling, general, and administrative expenses and does not account for other costs like cost of goods sold (COGS), taxes, or interest expenses.
Conclusion
The SG&amp;A Operating Expense Margin as a percentage of Net Sales is a valuable metric for evaluating how much of a company’s revenue is allocated to selling, general, and administrative expenses. It provides insights into operational efficiency and cost management, helping stakeholders assess the impact of these expenses on overall profitability. However, it should be analyzed in the context of industry standards and alongside other financial metrics to get a complete picture of a company’s financial health.</t>
  </si>
  <si>
    <t>measures the proportion of a company’s net sales that is consumed by total operating expenses. It provides insight into how efficiently a company is managing its overall operating costs relative to its sales revenue.
Interpretation
High Total Operating Expenses Margin: A high margin indicates that a significant portion of sales revenue is used to cover operating expenses. This may suggest higher operational costs relative to sales and could impact profitability. Companies with high margins might need to improve operational efficiency or reduce costs to enhance profitability.
Low Total Operating Expenses Margin: A low margin indicates that a smaller proportion of revenue is consumed by operating expenses, reflecting better cost control and operational efficiency. It may indicate higher profitability and effective management of operating costs.
Uses
Operational Efficiency: The Total Operating Expenses Margin helps evaluate how efficiently a company is managing its overall operating costs relative to its revenue.
Profitability Analysis: Understanding this margin provides insights into how operating expenses affect overall profitability, helping to assess the company’s financial health.
Comparative Analysis: Comparing this margin across companies within the same industry can highlight differences in cost management and operational efficiency.
Limitations
Industry Differences: Operating expense margins can vary significantly across industries. For instance, service-oriented industries might have higher operating expenses relative to sales compared to manufacturing industries. Comparisons should be made within the same industry for meaningful analysis.
Excludes Non-Operating Expenses: This margin does not include non-operating expenses such as interest and taxes, which can also impact overall profitability.
Conclusion
The Total Operating Expenses Margin as a percentage of Net Sales is a critical metric for understanding how much of a company’s revenue is used to cover operating costs. It provides valuable insights into operational efficiency and cost management, helping stakeholders assess the impact of operating expenses on overall profitability. This metric should be analyzed in conjunction with other financial indicators to gain a comprehensive view of a company’s financial performance.</t>
  </si>
  <si>
    <t>measures how much of a company's revenue remains as profit after all expenses are deducted. This includes all operating expenses, interest, taxes, and any other non-operating costs. It provides insight into the overall profitability of a company relative to its sales revenue.
Interpretation
High Net Profit Margin: A high margin indicates that a larger portion of sales revenue is converted into profit. This suggests effective cost management, high pricing power, and strong overall financial health. It reflects a company’s ability to convert sales into actual profit.
Low Net Profit Margin: A low margin indicates that a smaller portion of sales revenue is retained as profit, which may suggest higher expenses relative to sales, lower pricing power, or inefficiencies. This could impact the company’s ability to sustain profitability over the long term.
Uses
Profitability Assessment: The Net Profit Margin is a key indicator of overall profitability, showing how much profit is generated from each dollar of sales.
Financial Health: It helps assess the financial health and efficiency of a company by illustrating how well it manages its expenses and controls costs.
Comparative Analysis: Comparing net profit margins across companies in the same industry can highlight differences in cost control, pricing strategies, and operational efficiency.
Limitations
Industry Variability: Net Profit Margin can vary significantly across different industries. For example, technology firms might have higher margins compared to retail or manufacturing companies. Comparisons should be made within the same industry for a more accurate analysis.
Impact of Non-Operating Items: This margin includes all non-operating items such as interest expenses and taxes, which may not be reflective of the core operational performance of the company.
Conclusion
The Net Profit Margin as a percentage of Net Sales is a crucial metric for understanding a company’s overall profitability. It indicates how effectively a company converts its sales revenue into actual profit, reflecting its efficiency in managing expenses and generating income. This metric should be analyzed alongside other financial ratios and industry benchmarks to gain a comprehensive view of a company’s financial performance.</t>
  </si>
  <si>
    <t>Net profit (Net income)</t>
  </si>
  <si>
    <t>Operating income (Operating profit, operating earninigs)</t>
  </si>
  <si>
    <t>measures the proportion of a company’s net sales that is converted into operating income. It provides insight into how efficiently a company is managing its core business operations and controlling its operating expenses relative to its revenue.
Interpretation
High Operating Income Margin: A high margin indicates that a larger portion of sales revenue is retained as operating income, which suggests efficient management of operating expenses and strong core business performance. This can be a sign of effective cost control and pricing strategies.
Low Operating Income Margin: A low margin suggests that a smaller portion of sales revenue is converted into operating income, which may indicate higher operating costs or inefficiencies. This could be a concern for profitability and may necessitate review of operational practices and cost management.
Uses
Operational Efficiency: The Operating Income Margin helps assess how well a company is managing its operating expenses relative to its revenue, providing insights into operational efficiency.
Profitability Analysis: It provides a clear view of how much of a company’s sales revenue contributes to operating income, excluding non-operating income and expenses.
Comparative Analysis: Comparing this margin across companies in the same industry can highlight differences in operational efficiency and cost management.
Limitations
Excludes Non-Operating Items: This margin does not account for non-operating items like interest expenses, taxes, and extraordinary items. To get a full picture of overall profitability, consider net profit margin and other financial metrics.
Industry Differences: Operating Income Margins can vary significantly across different industries. For meaningful comparisons, it is best to analyze margins within the same sector.
Conclusion
The Operating Income Margin as a percentage of Net Sales is a key metric for understanding how effectively a company is generating profit from its core operations relative to its sales revenue. It helps assess operational efficiency and cost management, offering valuable insights into a company’s core business performance. This metric should be used alongside other financial indicators to gain a comprehensive view of a company’s financial health.</t>
  </si>
  <si>
    <t>Types of Income Tax Rates
Corporate Income Tax Rate: For businesses, this is the rate applied to the company's taxable income. Corporate tax rates can be either flat (a single rate applied to all income) or progressive (different rates applied to different income brackets).
Individual Income Tax Rate: For individuals, the tax rate may be progressive, meaning that income is taxed at increasing rates as it rises through various income brackets. Some jurisdictions also have flat tax rates for individuals.
Formula
The general formula to calculate income tax is:
Income Tax
=
Taxable Income
×
Income Tax Rate
Income Tax=Taxable Income×Income Tax Rate
Effective Tax Rate
The Effective Tax Rate is a more nuanced measure that shows the average rate at which a company’s or individual’s income is taxed. It is calculated as:
Effective Tax Rate
=
Total Income Tax Expense
Total Taxable Income
×
100
Effective Tax Rate= 
Total Taxable Income
Total Income Tax Expense
​
 ×100
Where:
Total Income Tax Expense: The total amount of tax a company or individual has paid or is expected to pay for the period.
Total Taxable Income: The total income subject to tax. Interpretation
Corporate Income Tax Rate: This rate is set by tax authorities and may vary based on jurisdiction and the company’s size or type. It affects the company’s after-tax income and overall profitability.
Effective Tax Rate: Provides insight into how much of a company’s or individual’s income is actually paid in taxes, considering any deductions, credits, or other tax adjustments. It can be different from the statutory tax rate due to these factors.
Uses
Financial Planning: Understanding the income tax rate helps in financial planning and forecasting, as it affects net income and cash flows.
Comparative Analysis: Comparing effective tax rates across companies can provide insights into tax efficiency and the impact of tax planning strategies.
Tax Strategy: Companies and individuals use knowledge of tax rates to develop strategies for minimizing tax liabilities through deductions, credits, and other tax planning techniques.
Limitations
Variation by Jurisdiction: Tax rates can vary widely by country and even by region within a country. This makes direct comparisons difficult without considering local tax regulations.
Complex Tax Rules: Effective tax rates can be influenced by complex tax rules, deductions, credits, and special tax treatments, which may not always be straightforward.
Conclusion
The Income Tax Rate determines how much of a company’s or individual’s income is paid in taxes. It is a crucial factor in financial planning and analysis. The Effective Tax Rate provides a clearer picture of the actual tax burden after accounting for various tax adjustments and should be considered along with statutory tax rates to understand the full impact of taxes on income.</t>
  </si>
  <si>
    <t>Income tax rate (Income tax/Taxable income)</t>
  </si>
  <si>
    <t>Income tax rate (Income tax/Taxable income). How do we calculate taxable income from income before taxes?</t>
  </si>
  <si>
    <t>measures how much a company is investing in capital expenditures (Capex) relative to its sales revenue. This ratio helps investors and analysts understand how much of the company's revenue is being allocated to acquiring or upgrading physical assets, which can be crucial for long-term growth and operational efficiency. 
Interpretation
High Ratio: A high percentage indicates a significant investment in physical assets relative to sales, which may suggest a company is expanding, upgrading its infrastructure, or investing in future growth. This can be positive if it leads to increased operational capacity or efficiency, but it may also indicate high capital needs.
Low Ratio: A low percentage suggests that the company is spending relatively less on capital expenditures compared to its sales revenue. This may indicate a focus on maintaining current operations or a mature company with lower capital investment needs.
Uses
Growth and Expansion: Investors use this ratio to assess how much a company is investing in its growth and future capacity. High Capex relative to sales might indicate expansion or upgrading efforts.
Operational Efficiency: It helps in evaluating how effectively a company is using its revenue to invest in assets that might improve its operational efficiency.
Comparison with Peers: Comparing this ratio with industry peers provides insight into how a company’s capital investment strategy aligns with its competitors and industry norms.
Limitations
Industry Variability: Capex requirements vary significantly by industry. For example, capital-intensive industries like manufacturing or utilities might have higher Capex ratios compared to service-based industries.
Short-Term vs. Long-Term Focus: A high Capex ratio might reflect significant short-term spending without immediate revenue benefits, so it’s important to consider the long-term impact and return on those investments.
Conclusion
Capex as a % of Sales is a valuable metric for understanding how much of a company’s revenue is being invested in capital expenditures. It provides insights into a company’s investment strategy, growth potential, and operational efficiency. This ratio should be analyzed in conjunction with other financial metrics and industry benchmarks to gain a comprehensive view of a company’s capital investment and overall financial health.</t>
  </si>
  <si>
    <t>how much a company is investing in capital expenditures (Capex) relative to its existing fixed assets. This ratio helps assess how much of a company's fixed asset base is being reinvested in new or replacement assets. 
For example, if Capex as a % of Fixed Assets is 28.57%, then it indicates that 28.57% of the company’s existing fixed asset base was reinvested in capital expenditures.
Interpretation
High Ratio: A high percentage suggests significant investment in maintaining or expanding the fixed asset base. This can be a positive indicator of growth or modernization efforts, but it might also indicate high capital needs.
Low Ratio: A low percentage suggests less reinvestment relative to the existing fixed asset base, which might indicate a focus on operational efficiency or a mature stage of the company's asset lifecycle.
Uses
Growth and Expansion: Helps evaluate how much the company is reinvesting in its fixed assets relative to its existing asset base. A high ratio may indicate ongoing expansion or significant upgrades.
Maintenance and Replacement: Provides insight into how much is being spent on maintaining and replacing assets to keep operations running smoothly.
Comparative Analysis: Useful for comparing Capex intensity across companies in the same industry to gauge how aggressively each is investing in its asset base.
Limitations
Industry Variability: Capex needs vary greatly between industries. For example, manufacturing companies typically have higher Capex as a % of fixed assets compared to service-oriented businesses.
Short-Term vs. Long-Term: A high ratio might reflect short-term spending without immediate revenue benefits, so it’s important to consider the long-term impact and return on these investments.
Conclusion
Capex as a % of Fixed Assets is a valuable metric for understanding how much of a company's fixed asset base is being reinvested through capital expenditures. It provides insights into the company's investment strategy, asset maintenance, and growth prospects, and should be used alongside other financial metrics for a comprehensive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</si>
</sst>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_(&quot;$&quot;* #,##0_);_(&quot;$&quot;* \(#,##0\);_(&quot;$&quot;* &quot;-&quot;??_);_(@_)"/>
    <numFmt numFmtId="166" formatCode="0_);\(0\)"/>
    <numFmt numFmtId="168" formatCode="#,##0.0000"/>
    <numFmt numFmtId="180"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0"/>
      <color rgb="FF000000"/>
      <name val="Tahoma"/>
      <family val="2"/>
    </font>
    <font>
      <sz val="10"/>
      <color rgb="FF00000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0" fillId="0" borderId="0" xfId="0" applyAlignment="1">
      <alignment horizontal="left" indent="1"/>
    </xf>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indent="1"/>
    </xf>
    <xf numFmtId="0" fontId="6" fillId="0" borderId="0" xfId="1" applyAlignment="1">
      <alignment horizontal="left" indent="1"/>
    </xf>
    <xf numFmtId="0" fontId="2" fillId="0" borderId="0" xfId="0" applyFont="1" applyAlignment="1">
      <alignment horizontal="left"/>
    </xf>
    <xf numFmtId="164"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0" fontId="2" fillId="0" borderId="3" xfId="0" applyFont="1" applyBorder="1" applyAlignment="1">
      <alignment horizontal="left"/>
    </xf>
    <xf numFmtId="165" fontId="3" fillId="2" borderId="0" xfId="2" applyNumberFormat="1" applyFont="1" applyFill="1"/>
    <xf numFmtId="165" fontId="2" fillId="0" borderId="0" xfId="2" applyNumberFormat="1" applyFont="1"/>
    <xf numFmtId="165" fontId="0" fillId="0" borderId="0" xfId="2" applyNumberFormat="1" applyFont="1"/>
    <xf numFmtId="165" fontId="2" fillId="0" borderId="1" xfId="2" applyNumberFormat="1" applyFont="1" applyBorder="1"/>
    <xf numFmtId="165" fontId="2" fillId="0" borderId="2" xfId="2" applyNumberFormat="1" applyFont="1" applyBorder="1"/>
    <xf numFmtId="165" fontId="0" fillId="0" borderId="3" xfId="2" applyNumberFormat="1" applyFont="1" applyBorder="1"/>
    <xf numFmtId="4" fontId="3" fillId="2" borderId="0" xfId="0" applyNumberFormat="1" applyFont="1" applyFill="1" applyAlignment="1">
      <alignment horizontal="center"/>
    </xf>
    <xf numFmtId="4" fontId="0" fillId="0" borderId="0" xfId="0" applyNumberFormat="1"/>
    <xf numFmtId="1" fontId="2" fillId="0" borderId="0" xfId="0" applyNumberFormat="1" applyFont="1"/>
    <xf numFmtId="166" fontId="2" fillId="0" borderId="0" xfId="2" applyNumberFormat="1" applyFont="1"/>
    <xf numFmtId="0" fontId="2" fillId="0" borderId="0" xfId="2" applyNumberFormat="1" applyFont="1"/>
    <xf numFmtId="1" fontId="0" fillId="0" borderId="0" xfId="0" applyNumberFormat="1"/>
    <xf numFmtId="1" fontId="0" fillId="0" borderId="0" xfId="2" applyNumberFormat="1" applyFont="1"/>
    <xf numFmtId="1" fontId="0" fillId="0" borderId="0" xfId="0" applyNumberFormat="1" applyAlignment="1">
      <alignment horizontal="left" indent="1"/>
    </xf>
    <xf numFmtId="44" fontId="0" fillId="0" borderId="0" xfId="0" applyNumberFormat="1"/>
    <xf numFmtId="165" fontId="2" fillId="0" borderId="0" xfId="2" applyNumberFormat="1" applyFont="1" applyAlignment="1">
      <alignment horizontal="center"/>
    </xf>
    <xf numFmtId="0" fontId="2" fillId="3" borderId="0" xfId="0" applyFont="1" applyFill="1" applyAlignment="1">
      <alignment horizontal="center"/>
    </xf>
    <xf numFmtId="4" fontId="2" fillId="0" borderId="0" xfId="0" applyNumberFormat="1" applyFont="1" applyAlignment="1">
      <alignment horizontal="center"/>
    </xf>
    <xf numFmtId="0" fontId="0" fillId="0" borderId="0" xfId="0" applyAlignment="1"/>
    <xf numFmtId="168" fontId="0" fillId="0" borderId="0" xfId="0" applyNumberFormat="1"/>
    <xf numFmtId="4" fontId="0" fillId="0" borderId="0" xfId="0" applyNumberFormat="1" applyAlignment="1"/>
    <xf numFmtId="2" fontId="0" fillId="0" borderId="0" xfId="0" quotePrefix="1" applyNumberFormat="1" applyAlignment="1"/>
    <xf numFmtId="44" fontId="0" fillId="4" borderId="0" xfId="2" applyNumberFormat="1" applyFont="1" applyFill="1"/>
    <xf numFmtId="0" fontId="0" fillId="0" borderId="0" xfId="0" applyFill="1" applyBorder="1" applyAlignment="1">
      <alignment horizontal="left" indent="1"/>
    </xf>
    <xf numFmtId="2" fontId="0" fillId="0" borderId="0" xfId="2" applyNumberFormat="1" applyFont="1"/>
    <xf numFmtId="4" fontId="0" fillId="0" borderId="0" xfId="0" applyNumberFormat="1" applyAlignment="1">
      <alignment wrapText="1"/>
    </xf>
    <xf numFmtId="0" fontId="0" fillId="0" borderId="0" xfId="0" applyAlignment="1">
      <alignment horizontal="left" indent="3"/>
    </xf>
    <xf numFmtId="180" fontId="0" fillId="0" borderId="0" xfId="3" applyNumberFormat="1" applyFont="1"/>
    <xf numFmtId="0" fontId="0" fillId="5" borderId="0" xfId="0" applyFont="1" applyFill="1" applyAlignment="1">
      <alignment horizontal="left" indent="1"/>
    </xf>
    <xf numFmtId="0" fontId="0" fillId="5" borderId="0" xfId="0" applyFill="1"/>
    <xf numFmtId="0" fontId="0" fillId="6" borderId="0" xfId="0" applyFill="1"/>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22" zoomScale="164" workbookViewId="0">
      <selection activeCell="A31" sqref="A31"/>
    </sheetView>
  </sheetViews>
  <sheetFormatPr baseColWidth="10" defaultColWidth="8.83203125" defaultRowHeight="15" x14ac:dyDescent="0.2"/>
  <cols>
    <col min="1" max="1" width="104.5" customWidth="1"/>
  </cols>
  <sheetData>
    <row r="1" spans="1:1" ht="24" x14ac:dyDescent="0.3">
      <c r="A1" s="4" t="s">
        <v>86</v>
      </c>
    </row>
    <row r="3" spans="1:1" x14ac:dyDescent="0.2">
      <c r="A3" s="6" t="s">
        <v>104</v>
      </c>
    </row>
    <row r="4" spans="1:1" x14ac:dyDescent="0.2">
      <c r="A4" s="10" t="s">
        <v>87</v>
      </c>
    </row>
    <row r="5" spans="1:1" x14ac:dyDescent="0.2">
      <c r="A5" s="6" t="s">
        <v>96</v>
      </c>
    </row>
    <row r="6" spans="1:1" x14ac:dyDescent="0.2">
      <c r="A6" s="1" t="s">
        <v>111</v>
      </c>
    </row>
    <row r="7" spans="1:1" x14ac:dyDescent="0.2">
      <c r="A7" s="1"/>
    </row>
    <row r="8" spans="1:1" x14ac:dyDescent="0.2">
      <c r="A8" s="11" t="s">
        <v>112</v>
      </c>
    </row>
    <row r="9" spans="1:1" x14ac:dyDescent="0.2">
      <c r="A9" s="1" t="s">
        <v>108</v>
      </c>
    </row>
    <row r="10" spans="1:1" x14ac:dyDescent="0.2">
      <c r="A10" s="1" t="s">
        <v>88</v>
      </c>
    </row>
    <row r="11" spans="1:1" x14ac:dyDescent="0.2">
      <c r="A11" s="1" t="s">
        <v>89</v>
      </c>
    </row>
    <row r="12" spans="1:1" x14ac:dyDescent="0.2">
      <c r="A12" s="1" t="s">
        <v>90</v>
      </c>
    </row>
    <row r="13" spans="1:1" x14ac:dyDescent="0.2">
      <c r="A13" s="1"/>
    </row>
    <row r="14" spans="1:1" x14ac:dyDescent="0.2">
      <c r="A14" s="11" t="s">
        <v>91</v>
      </c>
    </row>
    <row r="15" spans="1:1" x14ac:dyDescent="0.2">
      <c r="A15" s="1" t="s">
        <v>109</v>
      </c>
    </row>
    <row r="16" spans="1:1" x14ac:dyDescent="0.2">
      <c r="A16" s="1" t="s">
        <v>88</v>
      </c>
    </row>
    <row r="17" spans="1:1" x14ac:dyDescent="0.2">
      <c r="A17" s="1" t="s">
        <v>89</v>
      </c>
    </row>
    <row r="18" spans="1:1" x14ac:dyDescent="0.2">
      <c r="A18" s="1" t="s">
        <v>14</v>
      </c>
    </row>
    <row r="19" spans="1:1" x14ac:dyDescent="0.2">
      <c r="A19" s="1" t="s">
        <v>92</v>
      </c>
    </row>
    <row r="20" spans="1:1" x14ac:dyDescent="0.2">
      <c r="A20" s="1"/>
    </row>
    <row r="21" spans="1:1" x14ac:dyDescent="0.2">
      <c r="A21" s="11" t="s">
        <v>97</v>
      </c>
    </row>
    <row r="22" spans="1:1" x14ac:dyDescent="0.2">
      <c r="A22" s="1" t="s">
        <v>93</v>
      </c>
    </row>
    <row r="23" spans="1:1" x14ac:dyDescent="0.2">
      <c r="A23" s="1" t="s">
        <v>94</v>
      </c>
    </row>
    <row r="24" spans="1:1" x14ac:dyDescent="0.2">
      <c r="A24" s="1" t="s">
        <v>95</v>
      </c>
    </row>
    <row r="25" spans="1:1" x14ac:dyDescent="0.2">
      <c r="A25" s="1"/>
    </row>
    <row r="26" spans="1:1" x14ac:dyDescent="0.2">
      <c r="A26" s="11" t="s">
        <v>107</v>
      </c>
    </row>
    <row r="27" spans="1:1" x14ac:dyDescent="0.2">
      <c r="A27" s="10" t="s">
        <v>106</v>
      </c>
    </row>
    <row r="28" spans="1:1" x14ac:dyDescent="0.2">
      <c r="A28" s="39"/>
    </row>
    <row r="29" spans="1:1" x14ac:dyDescent="0.2">
      <c r="A29" s="6" t="s">
        <v>110</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43" zoomScale="125" workbookViewId="0">
      <pane xSplit="1" topLeftCell="C1" activePane="topRight" state="frozen"/>
      <selection pane="topRight" activeCell="B96" sqref="B96"/>
    </sheetView>
  </sheetViews>
  <sheetFormatPr baseColWidth="10" defaultColWidth="8.83203125" defaultRowHeight="15" x14ac:dyDescent="0.2"/>
  <cols>
    <col min="1" max="1" width="59" customWidth="1"/>
    <col min="2" max="4" width="15.6640625" style="18" bestFit="1" customWidth="1"/>
  </cols>
  <sheetData>
    <row r="1" spans="1:10" ht="60" customHeight="1" x14ac:dyDescent="0.2">
      <c r="A1" s="5" t="s">
        <v>0</v>
      </c>
      <c r="B1" s="16" t="s">
        <v>2</v>
      </c>
      <c r="C1" s="16"/>
      <c r="D1" s="16"/>
      <c r="E1" s="3"/>
      <c r="F1" s="3"/>
      <c r="G1" s="3"/>
      <c r="H1" s="3"/>
      <c r="I1" s="3"/>
      <c r="J1" s="3"/>
    </row>
    <row r="2" spans="1:10" x14ac:dyDescent="0.2">
      <c r="A2" s="32" t="s">
        <v>1</v>
      </c>
      <c r="B2" s="32"/>
      <c r="C2" s="32"/>
      <c r="D2" s="32"/>
    </row>
    <row r="3" spans="1:10" x14ac:dyDescent="0.2">
      <c r="B3" s="31" t="s">
        <v>22</v>
      </c>
      <c r="C3" s="31"/>
      <c r="D3" s="31"/>
    </row>
    <row r="4" spans="1:10" x14ac:dyDescent="0.2">
      <c r="B4" s="25">
        <v>2022</v>
      </c>
      <c r="C4" s="25">
        <v>2021</v>
      </c>
      <c r="D4" s="25">
        <v>2020</v>
      </c>
    </row>
    <row r="5" spans="1:10" x14ac:dyDescent="0.2">
      <c r="A5" t="s">
        <v>3</v>
      </c>
    </row>
    <row r="6" spans="1:10" x14ac:dyDescent="0.2">
      <c r="A6" s="1" t="s">
        <v>4</v>
      </c>
      <c r="B6" s="18">
        <v>316199</v>
      </c>
      <c r="C6" s="18">
        <v>297392</v>
      </c>
      <c r="D6" s="18">
        <v>220747</v>
      </c>
    </row>
    <row r="7" spans="1:10" x14ac:dyDescent="0.2">
      <c r="A7" s="1" t="s">
        <v>5</v>
      </c>
      <c r="B7" s="18">
        <v>78129</v>
      </c>
      <c r="C7" s="18">
        <v>68425</v>
      </c>
      <c r="D7" s="18">
        <v>53768</v>
      </c>
    </row>
    <row r="8" spans="1:10" x14ac:dyDescent="0.2">
      <c r="A8" s="7" t="s">
        <v>6</v>
      </c>
      <c r="B8" s="19">
        <f>+B6+B7</f>
        <v>394328</v>
      </c>
      <c r="C8" s="19">
        <f t="shared" ref="C8:D8" si="0">+C6+C7</f>
        <v>365817</v>
      </c>
      <c r="D8" s="19">
        <f t="shared" si="0"/>
        <v>274515</v>
      </c>
    </row>
    <row r="9" spans="1:10" x14ac:dyDescent="0.2">
      <c r="A9" t="s">
        <v>7</v>
      </c>
    </row>
    <row r="10" spans="1:10" x14ac:dyDescent="0.2">
      <c r="A10" s="1" t="s">
        <v>4</v>
      </c>
      <c r="B10" s="18">
        <v>201471</v>
      </c>
      <c r="C10" s="18">
        <v>192266</v>
      </c>
      <c r="D10" s="18">
        <v>151286</v>
      </c>
    </row>
    <row r="11" spans="1:10" x14ac:dyDescent="0.2">
      <c r="A11" s="1" t="s">
        <v>5</v>
      </c>
      <c r="B11" s="18">
        <v>22075</v>
      </c>
      <c r="C11" s="18">
        <v>20715</v>
      </c>
      <c r="D11" s="18">
        <v>18273</v>
      </c>
    </row>
    <row r="12" spans="1:10" x14ac:dyDescent="0.2">
      <c r="A12" s="7" t="s">
        <v>8</v>
      </c>
      <c r="B12" s="19">
        <f>+B10+B11</f>
        <v>223546</v>
      </c>
      <c r="C12" s="19">
        <f t="shared" ref="C12:D12" si="1">+C10+C11</f>
        <v>212981</v>
      </c>
      <c r="D12" s="19">
        <f t="shared" si="1"/>
        <v>169559</v>
      </c>
    </row>
    <row r="13" spans="1:10" x14ac:dyDescent="0.2">
      <c r="A13" s="7" t="s">
        <v>9</v>
      </c>
      <c r="B13" s="19">
        <f>+B8-B12</f>
        <v>170782</v>
      </c>
      <c r="C13" s="19">
        <f>+C8-C12</f>
        <v>152836</v>
      </c>
      <c r="D13" s="19">
        <f t="shared" ref="C13:D13" si="2">+D8-D12</f>
        <v>104956</v>
      </c>
    </row>
    <row r="14" spans="1:10" x14ac:dyDescent="0.2">
      <c r="A14" t="s">
        <v>10</v>
      </c>
    </row>
    <row r="15" spans="1:10" x14ac:dyDescent="0.2">
      <c r="A15" s="1" t="s">
        <v>11</v>
      </c>
      <c r="B15" s="18">
        <v>26251</v>
      </c>
      <c r="C15" s="18">
        <v>21914</v>
      </c>
      <c r="D15" s="18">
        <v>18752</v>
      </c>
    </row>
    <row r="16" spans="1:10" x14ac:dyDescent="0.2">
      <c r="A16" s="1" t="s">
        <v>12</v>
      </c>
      <c r="B16" s="18">
        <v>25094</v>
      </c>
      <c r="C16" s="18">
        <v>21973</v>
      </c>
      <c r="D16" s="18">
        <v>19916</v>
      </c>
    </row>
    <row r="17" spans="1:7" x14ac:dyDescent="0.2">
      <c r="A17" s="7" t="s">
        <v>13</v>
      </c>
      <c r="B17" s="19">
        <f>+B15+B16</f>
        <v>51345</v>
      </c>
      <c r="C17" s="19">
        <f t="shared" ref="C17" si="3">+C15+C16</f>
        <v>43887</v>
      </c>
      <c r="D17" s="19">
        <f t="shared" ref="D17" si="4">+D15+D16</f>
        <v>38668</v>
      </c>
    </row>
    <row r="18" spans="1:7" s="6" customFormat="1" x14ac:dyDescent="0.2">
      <c r="A18" s="7" t="s">
        <v>14</v>
      </c>
      <c r="B18" s="19">
        <f>+B13-B17</f>
        <v>119437</v>
      </c>
      <c r="C18" s="19">
        <f t="shared" ref="C18:D18" si="5">+C13-C17</f>
        <v>108949</v>
      </c>
      <c r="D18" s="19">
        <f t="shared" si="5"/>
        <v>66288</v>
      </c>
    </row>
    <row r="19" spans="1:7" x14ac:dyDescent="0.2">
      <c r="A19" t="s">
        <v>15</v>
      </c>
      <c r="B19" s="18">
        <v>-334</v>
      </c>
      <c r="C19" s="18">
        <v>258</v>
      </c>
      <c r="D19" s="18">
        <v>803</v>
      </c>
    </row>
    <row r="20" spans="1:7" x14ac:dyDescent="0.2">
      <c r="A20" s="7" t="s">
        <v>16</v>
      </c>
      <c r="B20" s="19">
        <f>+B18+B19</f>
        <v>119103</v>
      </c>
      <c r="C20" s="19">
        <f t="shared" ref="C20:D20" si="6">+C18+C19</f>
        <v>109207</v>
      </c>
      <c r="D20" s="19">
        <f t="shared" si="6"/>
        <v>67091</v>
      </c>
    </row>
    <row r="21" spans="1:7" x14ac:dyDescent="0.2">
      <c r="A21" t="s">
        <v>17</v>
      </c>
      <c r="B21" s="18">
        <v>19300</v>
      </c>
      <c r="C21" s="18">
        <v>14527</v>
      </c>
      <c r="D21" s="18">
        <v>9680</v>
      </c>
    </row>
    <row r="22" spans="1:7" ht="16" thickBot="1" x14ac:dyDescent="0.25">
      <c r="A22" s="8" t="s">
        <v>18</v>
      </c>
      <c r="B22" s="20">
        <f>+B20-B21</f>
        <v>99803</v>
      </c>
      <c r="C22" s="20">
        <f t="shared" ref="C22:D22" si="7">+C20-C21</f>
        <v>94680</v>
      </c>
      <c r="D22" s="20">
        <f t="shared" si="7"/>
        <v>57411</v>
      </c>
      <c r="E22" s="30"/>
      <c r="F22" s="30"/>
      <c r="G22" s="30"/>
    </row>
    <row r="23" spans="1:7" ht="16" thickTop="1" x14ac:dyDescent="0.2">
      <c r="A23" t="s">
        <v>185</v>
      </c>
    </row>
    <row r="24" spans="1:7" x14ac:dyDescent="0.2">
      <c r="A24" s="1" t="s">
        <v>19</v>
      </c>
      <c r="B24" s="38">
        <v>6.15</v>
      </c>
      <c r="C24" s="38">
        <v>5.67</v>
      </c>
      <c r="D24" s="38">
        <v>3.31</v>
      </c>
    </row>
    <row r="25" spans="1:7" x14ac:dyDescent="0.2">
      <c r="A25" s="1" t="s">
        <v>20</v>
      </c>
      <c r="B25" s="38">
        <v>6.11</v>
      </c>
      <c r="C25" s="38">
        <v>5.61</v>
      </c>
      <c r="D25" s="38">
        <v>3.28</v>
      </c>
    </row>
    <row r="26" spans="1:7" x14ac:dyDescent="0.2">
      <c r="A26" s="27" t="s">
        <v>21</v>
      </c>
      <c r="B26" s="40">
        <f>B22*1000/B28</f>
        <v>6.1132002014722815</v>
      </c>
      <c r="C26" s="28"/>
      <c r="D26" s="28"/>
    </row>
    <row r="27" spans="1:7" x14ac:dyDescent="0.2">
      <c r="A27" s="29" t="s">
        <v>183</v>
      </c>
      <c r="B27" s="28">
        <v>16215963</v>
      </c>
      <c r="C27" s="28">
        <v>16701272</v>
      </c>
      <c r="D27" s="28">
        <v>17352119</v>
      </c>
    </row>
    <row r="28" spans="1:7" x14ac:dyDescent="0.2">
      <c r="A28" s="29" t="s">
        <v>184</v>
      </c>
      <c r="B28" s="28">
        <v>16325819</v>
      </c>
      <c r="C28" s="28">
        <v>16864919</v>
      </c>
      <c r="D28" s="28">
        <v>17528214</v>
      </c>
    </row>
    <row r="31" spans="1:7" x14ac:dyDescent="0.2">
      <c r="A31" s="32" t="s">
        <v>23</v>
      </c>
      <c r="B31" s="32"/>
      <c r="C31" s="32"/>
      <c r="D31" s="32"/>
    </row>
    <row r="32" spans="1:7" x14ac:dyDescent="0.2">
      <c r="B32" s="31" t="s">
        <v>105</v>
      </c>
      <c r="C32" s="31"/>
      <c r="D32" s="31"/>
    </row>
    <row r="33" spans="1:4" x14ac:dyDescent="0.2">
      <c r="B33" s="25">
        <f>+B4</f>
        <v>2022</v>
      </c>
      <c r="C33" s="25">
        <f t="shared" ref="C33:D33" si="8">+C4</f>
        <v>2021</v>
      </c>
      <c r="D33" s="25">
        <f t="shared" si="8"/>
        <v>2020</v>
      </c>
    </row>
    <row r="35" spans="1:4" x14ac:dyDescent="0.2">
      <c r="A35" t="s">
        <v>24</v>
      </c>
    </row>
    <row r="36" spans="1:4" x14ac:dyDescent="0.2">
      <c r="A36" s="1" t="s">
        <v>25</v>
      </c>
      <c r="B36" s="18">
        <v>23646</v>
      </c>
      <c r="C36" s="18">
        <v>34940</v>
      </c>
      <c r="D36" s="18">
        <v>38016</v>
      </c>
    </row>
    <row r="37" spans="1:4" x14ac:dyDescent="0.2">
      <c r="A37" s="1" t="s">
        <v>26</v>
      </c>
      <c r="B37" s="18">
        <v>24658</v>
      </c>
      <c r="C37" s="18">
        <v>27699</v>
      </c>
      <c r="D37" s="18">
        <v>52927</v>
      </c>
    </row>
    <row r="38" spans="1:4" x14ac:dyDescent="0.2">
      <c r="A38" s="1" t="s">
        <v>27</v>
      </c>
      <c r="B38" s="18">
        <v>28184</v>
      </c>
      <c r="C38" s="18">
        <v>26278</v>
      </c>
      <c r="D38" s="18">
        <v>16120</v>
      </c>
    </row>
    <row r="39" spans="1:4" x14ac:dyDescent="0.2">
      <c r="A39" s="1" t="s">
        <v>28</v>
      </c>
      <c r="B39" s="18">
        <v>4946</v>
      </c>
      <c r="C39" s="18">
        <v>6580</v>
      </c>
      <c r="D39" s="18">
        <v>4061</v>
      </c>
    </row>
    <row r="40" spans="1:4" x14ac:dyDescent="0.2">
      <c r="A40" s="1" t="s">
        <v>46</v>
      </c>
      <c r="B40" s="18">
        <v>32748</v>
      </c>
      <c r="C40" s="18">
        <v>25228</v>
      </c>
      <c r="D40" s="18">
        <v>21325</v>
      </c>
    </row>
    <row r="41" spans="1:4" x14ac:dyDescent="0.2">
      <c r="A41" s="1" t="s">
        <v>29</v>
      </c>
      <c r="B41" s="18">
        <v>21223</v>
      </c>
      <c r="C41" s="18">
        <v>14111</v>
      </c>
      <c r="D41" s="18">
        <v>11264</v>
      </c>
    </row>
    <row r="42" spans="1:4" x14ac:dyDescent="0.2">
      <c r="A42" s="7" t="s">
        <v>30</v>
      </c>
      <c r="B42" s="19">
        <f>+SUM(B36:B41)</f>
        <v>135405</v>
      </c>
      <c r="C42" s="19">
        <f t="shared" ref="C42:D42" si="9">+SUM(C36:C41)</f>
        <v>134836</v>
      </c>
      <c r="D42" s="19">
        <f t="shared" si="9"/>
        <v>143713</v>
      </c>
    </row>
    <row r="43" spans="1:4" x14ac:dyDescent="0.2">
      <c r="A43" t="s">
        <v>47</v>
      </c>
    </row>
    <row r="44" spans="1:4" x14ac:dyDescent="0.2">
      <c r="A44" s="1" t="s">
        <v>26</v>
      </c>
      <c r="B44" s="18">
        <v>120805</v>
      </c>
      <c r="C44" s="18">
        <v>127877</v>
      </c>
      <c r="D44" s="18">
        <v>100887</v>
      </c>
    </row>
    <row r="45" spans="1:4" x14ac:dyDescent="0.2">
      <c r="A45" s="1" t="s">
        <v>31</v>
      </c>
      <c r="B45" s="18">
        <v>42117</v>
      </c>
      <c r="C45" s="18">
        <v>39440</v>
      </c>
      <c r="D45" s="18">
        <v>36766</v>
      </c>
    </row>
    <row r="46" spans="1:4" x14ac:dyDescent="0.2">
      <c r="A46" s="1" t="s">
        <v>48</v>
      </c>
      <c r="B46" s="18">
        <v>54428</v>
      </c>
      <c r="C46" s="18">
        <v>48849</v>
      </c>
      <c r="D46" s="18">
        <v>42522</v>
      </c>
    </row>
    <row r="47" spans="1:4" x14ac:dyDescent="0.2">
      <c r="A47" s="7" t="s">
        <v>49</v>
      </c>
      <c r="B47" s="19">
        <f>+SUM(B44:B46)</f>
        <v>217350</v>
      </c>
      <c r="C47" s="19">
        <f t="shared" ref="C47:D47" si="10">+SUM(C44:C46)</f>
        <v>216166</v>
      </c>
      <c r="D47" s="19">
        <f t="shared" si="10"/>
        <v>180175</v>
      </c>
    </row>
    <row r="48" spans="1:4" ht="16" thickBot="1" x14ac:dyDescent="0.25">
      <c r="A48" s="8" t="s">
        <v>32</v>
      </c>
      <c r="B48" s="20">
        <f>+B42+B47</f>
        <v>352755</v>
      </c>
      <c r="C48" s="20">
        <f t="shared" ref="C48:D48" si="11">+C42+C47</f>
        <v>351002</v>
      </c>
      <c r="D48" s="20">
        <f t="shared" si="11"/>
        <v>323888</v>
      </c>
    </row>
    <row r="49" spans="1:4" ht="16" thickTop="1" x14ac:dyDescent="0.2"/>
    <row r="50" spans="1:4" x14ac:dyDescent="0.2">
      <c r="A50" t="s">
        <v>33</v>
      </c>
    </row>
    <row r="51" spans="1:4" x14ac:dyDescent="0.2">
      <c r="A51" s="1" t="s">
        <v>34</v>
      </c>
      <c r="B51" s="18">
        <v>64115</v>
      </c>
      <c r="C51" s="18">
        <v>54763</v>
      </c>
      <c r="D51" s="18">
        <v>42296</v>
      </c>
    </row>
    <row r="52" spans="1:4" x14ac:dyDescent="0.2">
      <c r="A52" s="1" t="s">
        <v>35</v>
      </c>
      <c r="B52" s="18">
        <v>60845</v>
      </c>
      <c r="C52" s="18">
        <v>47493</v>
      </c>
      <c r="D52" s="18">
        <v>42684</v>
      </c>
    </row>
    <row r="53" spans="1:4" x14ac:dyDescent="0.2">
      <c r="A53" s="1" t="s">
        <v>36</v>
      </c>
      <c r="B53" s="18">
        <v>7912</v>
      </c>
      <c r="C53" s="18">
        <v>7612</v>
      </c>
      <c r="D53" s="18">
        <v>6643</v>
      </c>
    </row>
    <row r="54" spans="1:4" x14ac:dyDescent="0.2">
      <c r="A54" s="1" t="s">
        <v>37</v>
      </c>
      <c r="B54" s="18">
        <v>9982</v>
      </c>
      <c r="C54" s="18">
        <v>6000</v>
      </c>
      <c r="D54" s="18">
        <v>4996</v>
      </c>
    </row>
    <row r="55" spans="1:4" x14ac:dyDescent="0.2">
      <c r="A55" s="1" t="s">
        <v>38</v>
      </c>
      <c r="B55" s="18">
        <v>11128</v>
      </c>
      <c r="C55" s="18">
        <v>9613</v>
      </c>
      <c r="D55" s="18">
        <v>8773</v>
      </c>
    </row>
    <row r="56" spans="1:4" x14ac:dyDescent="0.2">
      <c r="A56" s="7" t="s">
        <v>39</v>
      </c>
      <c r="B56" s="19">
        <f>+SUM(B51:B55)</f>
        <v>153982</v>
      </c>
      <c r="C56" s="19">
        <f t="shared" ref="C56:D56" si="12">+SUM(C51:C55)</f>
        <v>125481</v>
      </c>
      <c r="D56" s="19">
        <f t="shared" si="12"/>
        <v>105392</v>
      </c>
    </row>
    <row r="57" spans="1:4" x14ac:dyDescent="0.2">
      <c r="A57" t="s">
        <v>50</v>
      </c>
    </row>
    <row r="58" spans="1:4" x14ac:dyDescent="0.2">
      <c r="A58" s="1" t="s">
        <v>36</v>
      </c>
    </row>
    <row r="59" spans="1:4" x14ac:dyDescent="0.2">
      <c r="A59" s="1" t="s">
        <v>38</v>
      </c>
      <c r="B59" s="18">
        <v>98959</v>
      </c>
      <c r="C59" s="18">
        <v>109106</v>
      </c>
      <c r="D59" s="18">
        <v>98667</v>
      </c>
    </row>
    <row r="60" spans="1:4" x14ac:dyDescent="0.2">
      <c r="A60" s="1" t="s">
        <v>51</v>
      </c>
      <c r="B60" s="18">
        <v>49142</v>
      </c>
      <c r="C60" s="18">
        <v>53325</v>
      </c>
      <c r="D60" s="18">
        <v>54490</v>
      </c>
    </row>
    <row r="61" spans="1:4" x14ac:dyDescent="0.2">
      <c r="A61" s="15" t="s">
        <v>52</v>
      </c>
      <c r="B61" s="21">
        <f>+B59+B60</f>
        <v>148101</v>
      </c>
      <c r="C61" s="21">
        <f t="shared" ref="C61:D61" si="13">+C59+C60</f>
        <v>162431</v>
      </c>
      <c r="D61" s="21">
        <f t="shared" si="13"/>
        <v>153157</v>
      </c>
    </row>
    <row r="62" spans="1:4" x14ac:dyDescent="0.2">
      <c r="A62" s="7" t="s">
        <v>40</v>
      </c>
      <c r="B62" s="19">
        <f>+B56+B61</f>
        <v>302083</v>
      </c>
      <c r="C62" s="19">
        <f t="shared" ref="C62:D62" si="14">+C56+C61</f>
        <v>287912</v>
      </c>
      <c r="D62" s="19">
        <f t="shared" si="14"/>
        <v>258549</v>
      </c>
    </row>
    <row r="64" spans="1:4" x14ac:dyDescent="0.2">
      <c r="A64" t="s">
        <v>41</v>
      </c>
    </row>
    <row r="65" spans="1:4" x14ac:dyDescent="0.2">
      <c r="A65" s="1" t="s">
        <v>53</v>
      </c>
      <c r="B65" s="18">
        <v>64849</v>
      </c>
      <c r="C65" s="18">
        <v>57365</v>
      </c>
      <c r="D65" s="18">
        <v>50779</v>
      </c>
    </row>
    <row r="66" spans="1:4" x14ac:dyDescent="0.2">
      <c r="A66" s="1" t="s">
        <v>42</v>
      </c>
      <c r="B66" s="18">
        <v>-3068</v>
      </c>
      <c r="C66" s="18">
        <v>5562</v>
      </c>
      <c r="D66" s="18">
        <v>14966</v>
      </c>
    </row>
    <row r="67" spans="1:4" x14ac:dyDescent="0.2">
      <c r="A67" s="1" t="s">
        <v>43</v>
      </c>
      <c r="B67" s="18">
        <v>-11109</v>
      </c>
      <c r="C67" s="18">
        <v>163</v>
      </c>
      <c r="D67" s="18">
        <v>-406</v>
      </c>
    </row>
    <row r="68" spans="1:4" x14ac:dyDescent="0.2">
      <c r="A68" s="7" t="s">
        <v>44</v>
      </c>
      <c r="B68" s="19">
        <f>+SUM(B65:B67)</f>
        <v>50672</v>
      </c>
      <c r="C68" s="19">
        <f t="shared" ref="C68:D68" si="15">+SUM(C65:C67)</f>
        <v>63090</v>
      </c>
      <c r="D68" s="19">
        <f t="shared" si="15"/>
        <v>65339</v>
      </c>
    </row>
    <row r="69" spans="1:4" ht="16" thickBot="1" x14ac:dyDescent="0.25">
      <c r="A69" s="8" t="s">
        <v>45</v>
      </c>
      <c r="B69" s="20">
        <f>+B68+B62</f>
        <v>352755</v>
      </c>
      <c r="C69" s="20">
        <f t="shared" ref="C69:D69" si="16">+C68+C62</f>
        <v>351002</v>
      </c>
      <c r="D69" s="20">
        <f t="shared" si="16"/>
        <v>323888</v>
      </c>
    </row>
    <row r="70" spans="1:4" ht="16" thickTop="1" x14ac:dyDescent="0.2"/>
    <row r="71" spans="1:4" x14ac:dyDescent="0.2">
      <c r="A71" s="32" t="s">
        <v>54</v>
      </c>
      <c r="B71" s="32"/>
      <c r="C71" s="32"/>
      <c r="D71" s="32"/>
    </row>
    <row r="72" spans="1:4" x14ac:dyDescent="0.2">
      <c r="B72" s="31" t="s">
        <v>22</v>
      </c>
      <c r="C72" s="31"/>
      <c r="D72" s="31"/>
    </row>
    <row r="73" spans="1:4" x14ac:dyDescent="0.2">
      <c r="B73" s="26">
        <f>+B33</f>
        <v>2022</v>
      </c>
      <c r="C73" s="26">
        <f t="shared" ref="C73:D73" si="17">+C33</f>
        <v>2021</v>
      </c>
      <c r="D73" s="26">
        <f t="shared" si="17"/>
        <v>2020</v>
      </c>
    </row>
    <row r="75" spans="1:4" x14ac:dyDescent="0.2">
      <c r="A75" s="6" t="s">
        <v>55</v>
      </c>
      <c r="B75" s="17"/>
      <c r="C75" s="17"/>
      <c r="D75" s="17"/>
    </row>
    <row r="76" spans="1:4" x14ac:dyDescent="0.2">
      <c r="A76" t="s">
        <v>56</v>
      </c>
      <c r="B76" s="18">
        <f>+B22</f>
        <v>99803</v>
      </c>
      <c r="C76" s="18">
        <f t="shared" ref="C76:D76" si="18">+C22</f>
        <v>94680</v>
      </c>
      <c r="D76" s="18">
        <f t="shared" si="18"/>
        <v>57411</v>
      </c>
    </row>
    <row r="77" spans="1:4" x14ac:dyDescent="0.2">
      <c r="A77" s="9" t="s">
        <v>18</v>
      </c>
      <c r="B77" s="17"/>
      <c r="C77" s="17"/>
      <c r="D77" s="17"/>
    </row>
    <row r="78" spans="1:4" x14ac:dyDescent="0.2">
      <c r="A78" s="1" t="s">
        <v>57</v>
      </c>
    </row>
    <row r="79" spans="1:4" x14ac:dyDescent="0.2">
      <c r="A79" s="2" t="s">
        <v>58</v>
      </c>
      <c r="B79" s="18">
        <v>11104</v>
      </c>
      <c r="C79" s="18">
        <v>11284</v>
      </c>
      <c r="D79" s="18">
        <v>11056</v>
      </c>
    </row>
    <row r="80" spans="1:4" x14ac:dyDescent="0.2">
      <c r="A80" s="2" t="s">
        <v>82</v>
      </c>
      <c r="B80" s="18">
        <v>9038</v>
      </c>
      <c r="C80" s="18">
        <v>7906</v>
      </c>
      <c r="D80" s="18">
        <v>6829</v>
      </c>
    </row>
    <row r="81" spans="1:4" x14ac:dyDescent="0.2">
      <c r="A81" s="2" t="s">
        <v>59</v>
      </c>
      <c r="B81" s="18">
        <v>895</v>
      </c>
      <c r="C81" s="18">
        <v>-4774</v>
      </c>
      <c r="D81" s="18">
        <v>-215</v>
      </c>
    </row>
    <row r="82" spans="1:4" x14ac:dyDescent="0.2">
      <c r="A82" s="2" t="s">
        <v>60</v>
      </c>
      <c r="B82" s="18">
        <v>111</v>
      </c>
      <c r="C82" s="18">
        <v>-147</v>
      </c>
      <c r="D82" s="18">
        <v>-97</v>
      </c>
    </row>
    <row r="83" spans="1:4" x14ac:dyDescent="0.2">
      <c r="A83" t="s">
        <v>61</v>
      </c>
    </row>
    <row r="84" spans="1:4" x14ac:dyDescent="0.2">
      <c r="A84" s="1" t="s">
        <v>27</v>
      </c>
      <c r="B84" s="18">
        <v>-1823</v>
      </c>
      <c r="C84" s="18">
        <v>-10125</v>
      </c>
      <c r="D84" s="18">
        <v>6917</v>
      </c>
    </row>
    <row r="85" spans="1:4" x14ac:dyDescent="0.2">
      <c r="A85" s="1" t="s">
        <v>28</v>
      </c>
      <c r="B85" s="18">
        <v>1484</v>
      </c>
      <c r="C85" s="18">
        <v>-2642</v>
      </c>
      <c r="D85" s="18">
        <v>-127</v>
      </c>
    </row>
    <row r="86" spans="1:4" x14ac:dyDescent="0.2">
      <c r="A86" s="1" t="s">
        <v>46</v>
      </c>
      <c r="B86" s="18">
        <v>-7520</v>
      </c>
      <c r="C86" s="18">
        <v>-3903</v>
      </c>
      <c r="D86" s="18">
        <v>1553</v>
      </c>
    </row>
    <row r="87" spans="1:4" x14ac:dyDescent="0.2">
      <c r="A87" s="1" t="s">
        <v>83</v>
      </c>
      <c r="B87" s="18">
        <v>-6499</v>
      </c>
      <c r="C87" s="18">
        <v>-8042</v>
      </c>
      <c r="D87" s="18">
        <v>-9588</v>
      </c>
    </row>
    <row r="88" spans="1:4" x14ac:dyDescent="0.2">
      <c r="A88" s="1" t="s">
        <v>34</v>
      </c>
      <c r="B88" s="18">
        <v>9448</v>
      </c>
      <c r="C88" s="18">
        <v>12326</v>
      </c>
      <c r="D88" s="18">
        <v>-4062</v>
      </c>
    </row>
    <row r="89" spans="1:4" x14ac:dyDescent="0.2">
      <c r="A89" s="1" t="s">
        <v>36</v>
      </c>
      <c r="B89" s="18">
        <v>478</v>
      </c>
      <c r="C89" s="18">
        <v>1676</v>
      </c>
      <c r="D89" s="18">
        <v>2081</v>
      </c>
    </row>
    <row r="90" spans="1:4" x14ac:dyDescent="0.2">
      <c r="A90" s="1" t="s">
        <v>84</v>
      </c>
      <c r="B90" s="18">
        <v>5632</v>
      </c>
      <c r="C90" s="18">
        <v>5799</v>
      </c>
      <c r="D90" s="18">
        <v>8916</v>
      </c>
    </row>
    <row r="91" spans="1:4" x14ac:dyDescent="0.2">
      <c r="A91" s="7" t="s">
        <v>62</v>
      </c>
      <c r="B91" s="19">
        <f>+SUM(B76:B90)</f>
        <v>122151</v>
      </c>
      <c r="C91" s="19">
        <f t="shared" ref="C91:D91" si="19">+SUM(C76:C90)</f>
        <v>104038</v>
      </c>
      <c r="D91" s="19">
        <f t="shared" si="19"/>
        <v>80674</v>
      </c>
    </row>
    <row r="92" spans="1:4" x14ac:dyDescent="0.2">
      <c r="A92" s="6" t="s">
        <v>63</v>
      </c>
    </row>
    <row r="93" spans="1:4" x14ac:dyDescent="0.2">
      <c r="A93" s="1" t="s">
        <v>64</v>
      </c>
      <c r="B93" s="18">
        <v>-76923</v>
      </c>
      <c r="C93" s="18">
        <v>-109558</v>
      </c>
      <c r="D93" s="18">
        <v>-114938</v>
      </c>
    </row>
    <row r="94" spans="1:4" x14ac:dyDescent="0.2">
      <c r="A94" s="1" t="s">
        <v>65</v>
      </c>
      <c r="B94" s="18">
        <v>29917</v>
      </c>
      <c r="C94" s="18">
        <v>59023</v>
      </c>
      <c r="D94" s="18">
        <v>69918</v>
      </c>
    </row>
    <row r="95" spans="1:4" x14ac:dyDescent="0.2">
      <c r="A95" s="1" t="s">
        <v>66</v>
      </c>
      <c r="B95" s="18">
        <v>37446</v>
      </c>
      <c r="C95" s="18">
        <v>47460</v>
      </c>
      <c r="D95" s="18">
        <v>50473</v>
      </c>
    </row>
    <row r="96" spans="1:4" x14ac:dyDescent="0.2">
      <c r="A96" s="1" t="s">
        <v>67</v>
      </c>
      <c r="B96" s="18">
        <v>-10708</v>
      </c>
      <c r="C96" s="18">
        <v>-11085</v>
      </c>
      <c r="D96" s="18">
        <v>-7309</v>
      </c>
    </row>
    <row r="97" spans="1:4" x14ac:dyDescent="0.2">
      <c r="A97" s="1" t="s">
        <v>68</v>
      </c>
      <c r="B97" s="18">
        <v>-306</v>
      </c>
      <c r="C97" s="18">
        <v>-33</v>
      </c>
      <c r="D97" s="18">
        <v>-1524</v>
      </c>
    </row>
    <row r="98" spans="1:4" x14ac:dyDescent="0.2">
      <c r="A98" s="1" t="s">
        <v>60</v>
      </c>
      <c r="B98" s="18">
        <v>-1780</v>
      </c>
      <c r="C98" s="18">
        <v>-352</v>
      </c>
      <c r="D98" s="18">
        <v>-909</v>
      </c>
    </row>
    <row r="99" spans="1:4" x14ac:dyDescent="0.2">
      <c r="A99" s="7" t="s">
        <v>69</v>
      </c>
      <c r="B99" s="19">
        <f>+SUM(B93:B98)</f>
        <v>-22354</v>
      </c>
      <c r="C99" s="19">
        <f t="shared" ref="C99:D99" si="20">+SUM(C93:C98)</f>
        <v>-14545</v>
      </c>
      <c r="D99" s="19">
        <f t="shared" si="20"/>
        <v>-4289</v>
      </c>
    </row>
    <row r="100" spans="1:4" x14ac:dyDescent="0.2">
      <c r="A100" s="6" t="s">
        <v>70</v>
      </c>
    </row>
    <row r="101" spans="1:4" x14ac:dyDescent="0.2">
      <c r="A101" s="1" t="s">
        <v>85</v>
      </c>
      <c r="B101" s="18">
        <v>-6223</v>
      </c>
      <c r="C101" s="18">
        <v>-6556</v>
      </c>
      <c r="D101" s="18">
        <v>-3634</v>
      </c>
    </row>
    <row r="102" spans="1:4" x14ac:dyDescent="0.2">
      <c r="A102" s="1" t="s">
        <v>71</v>
      </c>
      <c r="B102" s="18">
        <v>-14841</v>
      </c>
      <c r="C102" s="18">
        <v>-14467</v>
      </c>
      <c r="D102" s="18">
        <v>-14081</v>
      </c>
    </row>
    <row r="103" spans="1:4" x14ac:dyDescent="0.2">
      <c r="A103" s="1" t="s">
        <v>72</v>
      </c>
      <c r="B103" s="18">
        <v>-89402</v>
      </c>
      <c r="C103" s="18">
        <v>-85971</v>
      </c>
      <c r="D103" s="18">
        <v>-72358</v>
      </c>
    </row>
    <row r="104" spans="1:4" x14ac:dyDescent="0.2">
      <c r="A104" s="1" t="s">
        <v>73</v>
      </c>
      <c r="B104" s="18">
        <v>5465</v>
      </c>
      <c r="C104" s="18">
        <v>20393</v>
      </c>
      <c r="D104" s="18">
        <v>16091</v>
      </c>
    </row>
    <row r="105" spans="1:4" x14ac:dyDescent="0.2">
      <c r="A105" s="1" t="s">
        <v>74</v>
      </c>
      <c r="B105" s="18">
        <v>-9543</v>
      </c>
      <c r="C105" s="18">
        <v>-8750</v>
      </c>
      <c r="D105" s="18">
        <v>-12629</v>
      </c>
    </row>
    <row r="106" spans="1:4" x14ac:dyDescent="0.2">
      <c r="A106" s="1" t="s">
        <v>75</v>
      </c>
      <c r="B106" s="18">
        <v>3955</v>
      </c>
      <c r="C106" s="18">
        <v>1022</v>
      </c>
      <c r="D106" s="18">
        <v>-963</v>
      </c>
    </row>
    <row r="107" spans="1:4" x14ac:dyDescent="0.2">
      <c r="A107" s="1" t="s">
        <v>60</v>
      </c>
      <c r="B107" s="18">
        <v>-160</v>
      </c>
      <c r="C107" s="18">
        <v>976</v>
      </c>
      <c r="D107" s="18">
        <v>754</v>
      </c>
    </row>
    <row r="108" spans="1:4" x14ac:dyDescent="0.2">
      <c r="A108" s="7" t="s">
        <v>76</v>
      </c>
      <c r="B108" s="19">
        <f>+SUM(B101:B107)</f>
        <v>-110749</v>
      </c>
      <c r="C108" s="19">
        <f t="shared" ref="C108:D108" si="21">+SUM(C101:C107)</f>
        <v>-93353</v>
      </c>
      <c r="D108" s="19">
        <f t="shared" si="21"/>
        <v>-86820</v>
      </c>
    </row>
    <row r="109" spans="1:4" x14ac:dyDescent="0.2">
      <c r="A109" s="7" t="s">
        <v>77</v>
      </c>
      <c r="B109" s="19">
        <f>+B91+B99+B108</f>
        <v>-10952</v>
      </c>
      <c r="C109" s="19">
        <f t="shared" ref="C109:D109" si="22">+C91+C99+C108</f>
        <v>-3860</v>
      </c>
      <c r="D109" s="19">
        <f t="shared" si="22"/>
        <v>-10435</v>
      </c>
    </row>
    <row r="110" spans="1:4" ht="16" thickBot="1" x14ac:dyDescent="0.25">
      <c r="A110" s="8" t="s">
        <v>78</v>
      </c>
      <c r="B110" s="20">
        <v>24977</v>
      </c>
      <c r="C110" s="20">
        <v>35929</v>
      </c>
      <c r="D110" s="20">
        <v>39789</v>
      </c>
    </row>
    <row r="111" spans="1:4" ht="16" thickTop="1" x14ac:dyDescent="0.2"/>
    <row r="112" spans="1:4" x14ac:dyDescent="0.2">
      <c r="A112" t="s">
        <v>79</v>
      </c>
    </row>
    <row r="113" spans="1:4" x14ac:dyDescent="0.2">
      <c r="A113" t="s">
        <v>80</v>
      </c>
      <c r="B113" s="18">
        <v>19573</v>
      </c>
      <c r="C113" s="18">
        <v>25385</v>
      </c>
      <c r="D113" s="18">
        <v>9501</v>
      </c>
    </row>
    <row r="114" spans="1:4" x14ac:dyDescent="0.2">
      <c r="A114" t="s">
        <v>81</v>
      </c>
      <c r="B114" s="18">
        <v>2865</v>
      </c>
      <c r="C114" s="18">
        <v>2687</v>
      </c>
      <c r="D114" s="18">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7"/>
  <sheetViews>
    <sheetView tabSelected="1" zoomScale="125" workbookViewId="0">
      <pane xSplit="2" ySplit="3" topLeftCell="C80" activePane="bottomRight" state="frozen"/>
      <selection pane="topRight" activeCell="C1" sqref="C1"/>
      <selection pane="bottomLeft" activeCell="A4" sqref="A4"/>
      <selection pane="bottomRight" activeCell="B96" sqref="B96"/>
    </sheetView>
  </sheetViews>
  <sheetFormatPr baseColWidth="10" defaultColWidth="8.83203125" defaultRowHeight="15" x14ac:dyDescent="0.2"/>
  <cols>
    <col min="1" max="1" width="4.6640625" customWidth="1"/>
    <col min="2" max="2" width="44.83203125" customWidth="1"/>
    <col min="3" max="5" width="11.6640625" style="23" bestFit="1" customWidth="1"/>
    <col min="6" max="6" width="8.83203125" style="34"/>
  </cols>
  <sheetData>
    <row r="1" spans="1:10" ht="60" customHeight="1" x14ac:dyDescent="0.3">
      <c r="A1" s="5"/>
      <c r="B1" s="14" t="s">
        <v>0</v>
      </c>
      <c r="C1" s="22"/>
      <c r="D1" s="22"/>
      <c r="E1" s="22"/>
      <c r="F1" s="13"/>
      <c r="G1" s="13"/>
      <c r="H1" s="13"/>
      <c r="I1" s="13"/>
      <c r="J1" s="13"/>
    </row>
    <row r="2" spans="1:10" x14ac:dyDescent="0.2">
      <c r="C2" s="33" t="s">
        <v>22</v>
      </c>
      <c r="D2" s="33"/>
      <c r="E2" s="33"/>
    </row>
    <row r="3" spans="1:10" x14ac:dyDescent="0.2">
      <c r="C3" s="24">
        <f>+'Financial Statements'!B4</f>
        <v>2022</v>
      </c>
      <c r="D3" s="24">
        <f>+'Financial Statements'!C4</f>
        <v>2021</v>
      </c>
      <c r="E3" s="24">
        <f>+'Financial Statements'!D4</f>
        <v>2020</v>
      </c>
    </row>
    <row r="4" spans="1:10" x14ac:dyDescent="0.2">
      <c r="A4" s="12">
        <v>1</v>
      </c>
      <c r="B4" s="6" t="s">
        <v>98</v>
      </c>
    </row>
    <row r="5" spans="1:10" x14ac:dyDescent="0.2">
      <c r="A5" s="12">
        <f>+A4+0.1</f>
        <v>1.1000000000000001</v>
      </c>
      <c r="B5" s="1" t="s">
        <v>113</v>
      </c>
      <c r="C5" s="23">
        <f>'Financial Statements'!B42/'Financial Statements'!B56</f>
        <v>0.87935602862672257</v>
      </c>
      <c r="D5" s="23">
        <f>'Financial Statements'!C42/'Financial Statements'!C56</f>
        <v>1.0745531195957954</v>
      </c>
      <c r="E5" s="23">
        <f>'Financial Statements'!D42/'Financial Statements'!D56</f>
        <v>1.3636044481554577</v>
      </c>
      <c r="F5" s="34" t="s">
        <v>115</v>
      </c>
      <c r="G5" t="s">
        <v>120</v>
      </c>
    </row>
    <row r="6" spans="1:10" x14ac:dyDescent="0.2">
      <c r="A6" s="12">
        <f>+A5+0.1</f>
        <v>1.2000000000000002</v>
      </c>
      <c r="B6" s="1" t="s">
        <v>121</v>
      </c>
      <c r="C6" s="23">
        <f>('Financial Statements'!B42-'Financial Statements'!B39)/'Financial Statements'!B56</f>
        <v>0.84723539114961488</v>
      </c>
      <c r="D6" s="23">
        <f>('Financial Statements'!C42-'Financial Statements'!C39)/'Financial Statements'!C56</f>
        <v>1.0221149018576519</v>
      </c>
      <c r="E6" s="23">
        <f>('Financial Statements'!D42-'Financial Statements'!D39)/'Financial Statements'!D56</f>
        <v>1.325072111735236</v>
      </c>
      <c r="F6" s="34" t="s">
        <v>116</v>
      </c>
      <c r="G6" t="s">
        <v>119</v>
      </c>
    </row>
    <row r="7" spans="1:10" x14ac:dyDescent="0.2">
      <c r="A7" s="12">
        <f t="shared" ref="A7:A13" si="0">+A6+0.1</f>
        <v>1.3000000000000003</v>
      </c>
      <c r="B7" s="1" t="s">
        <v>114</v>
      </c>
      <c r="C7" s="23">
        <f>'Financial Statements'!B36/'Financial Statements'!B56</f>
        <v>0.15356340351469652</v>
      </c>
      <c r="D7" s="23">
        <f>'Financial Statements'!C36/'Financial Statements'!C56</f>
        <v>0.27844853005634318</v>
      </c>
      <c r="E7" s="23">
        <f>'Financial Statements'!D36/'Financial Statements'!D56</f>
        <v>0.36071049035979963</v>
      </c>
      <c r="F7" s="34" t="s">
        <v>117</v>
      </c>
      <c r="G7" t="s">
        <v>118</v>
      </c>
    </row>
    <row r="8" spans="1:10" x14ac:dyDescent="0.2">
      <c r="A8" s="12">
        <f t="shared" si="0"/>
        <v>1.4000000000000004</v>
      </c>
      <c r="B8" s="1" t="s">
        <v>122</v>
      </c>
      <c r="C8" s="23">
        <f>('Financial Statements'!B36+'Financial Statements'!B37+'Financial Statements'!B38+'Financial Statements'!B40+'Financial Statements'!B41)/('Financial Statements'!B17/365)</f>
        <v>927.40354464894335</v>
      </c>
      <c r="D8" s="23">
        <f>('Financial Statements'!C36+'Financial Statements'!C37+'Financial Statements'!C38+'Financial Statements'!C40+'Financial Statements'!C41)/('Financial Statements'!C17/365)</f>
        <v>1066.6812495727663</v>
      </c>
      <c r="E8" s="23">
        <f>('Financial Statements'!D36+'Financial Statements'!D37+'Financial Statements'!D38+'Financial Statements'!D40+'Financial Statements'!D41)/('Financial Statements'!D17/365)</f>
        <v>1318.2212682321299</v>
      </c>
      <c r="F8" s="34" t="s">
        <v>124</v>
      </c>
    </row>
    <row r="9" spans="1:10" x14ac:dyDescent="0.2">
      <c r="A9" s="12">
        <f t="shared" si="0"/>
        <v>1.5000000000000004</v>
      </c>
      <c r="B9" s="1" t="s">
        <v>131</v>
      </c>
      <c r="C9" s="23">
        <f>((('Financial Statements'!C39+'Financial Statements'!B39)/2)/('Financial Statements'!B12/365))</f>
        <v>9.4096740715557434</v>
      </c>
      <c r="D9" s="23">
        <f>((('Financial Statements'!D39+'Financial Statements'!C39)/2)/('Financial Statements'!C12/365))</f>
        <v>9.1181020842234766</v>
      </c>
      <c r="E9" s="23">
        <f>((('Financial Statements'!D39-'Financial Statements'!D85)+'Financial Statements'!D39)/2)/('Financial Statements'!D12/365)</f>
        <v>8.8785761888192312</v>
      </c>
      <c r="F9" s="34" t="s">
        <v>125</v>
      </c>
    </row>
    <row r="10" spans="1:10" x14ac:dyDescent="0.2">
      <c r="A10" s="12">
        <f t="shared" si="0"/>
        <v>1.6000000000000005</v>
      </c>
      <c r="B10" s="1" t="s">
        <v>132</v>
      </c>
      <c r="C10" s="23">
        <f>((('Financial Statements'!C51+'Financial Statements'!B51)/2))/('Financial Statements'!B12/365)</f>
        <v>97.050428099809437</v>
      </c>
      <c r="D10" s="23">
        <f>(('Financial Statements'!D51+'Financial Statements'!C51)/2)/('Financial Statements'!C12/365)</f>
        <v>83.168299050150011</v>
      </c>
      <c r="E10" s="23">
        <f>((('Financial Statements'!D51-'Financial Statements'!D88)+'Financial Statements'!D51)/2)/('Financial Statements'!D12/365)</f>
        <v>95.420207715308536</v>
      </c>
      <c r="F10" s="34" t="s">
        <v>127</v>
      </c>
    </row>
    <row r="11" spans="1:10" x14ac:dyDescent="0.2">
      <c r="A11" s="12">
        <f t="shared" si="0"/>
        <v>1.7000000000000006</v>
      </c>
      <c r="B11" s="1" t="s">
        <v>133</v>
      </c>
      <c r="C11" s="23">
        <f>(('Financial Statements'!C38+'Financial Statements'!D38)/2)/('Financial Statements'!B8/365)</f>
        <v>19.622332170173056</v>
      </c>
      <c r="D11" s="23">
        <f>(('Financial Statements'!D38+'Financial Statements'!C38)/2)/('Financial Statements'!C8/365)</f>
        <v>21.151655062503927</v>
      </c>
      <c r="E11" s="23">
        <f>((('Financial Statements'!D38-'Financial Statements'!D84)+'Financial Statements'!D38)/2)/('Financial Statements'!D8/365)</f>
        <v>16.83495437407792</v>
      </c>
      <c r="F11" s="34" t="s">
        <v>126</v>
      </c>
    </row>
    <row r="12" spans="1:10" x14ac:dyDescent="0.2">
      <c r="A12" s="12">
        <f t="shared" si="0"/>
        <v>1.8000000000000007</v>
      </c>
      <c r="B12" s="1" t="s">
        <v>128</v>
      </c>
      <c r="C12" s="23">
        <f>C9+C11-C10</f>
        <v>-68.018421858080643</v>
      </c>
      <c r="D12" s="23">
        <f>D9+D11-D10</f>
        <v>-52.898541903422611</v>
      </c>
      <c r="E12" s="23">
        <f>E9+E11-E10</f>
        <v>-69.706677152411388</v>
      </c>
      <c r="F12" s="34" t="s">
        <v>130</v>
      </c>
    </row>
    <row r="13" spans="1:10" x14ac:dyDescent="0.2">
      <c r="A13" s="12">
        <f t="shared" si="0"/>
        <v>1.9000000000000008</v>
      </c>
      <c r="B13" s="1" t="s">
        <v>135</v>
      </c>
      <c r="C13" s="35">
        <f xml:space="preserve"> (C14/'Financial Statements'!B8)/100</f>
        <v>-4.7110527276784811E-4</v>
      </c>
      <c r="D13" s="23">
        <f>(D14/'Financial Statements'!C8)*100</f>
        <v>2.5572895737486232</v>
      </c>
      <c r="E13" s="23">
        <f>(E14/'Financial Statements'!D8)*100</f>
        <v>13.959528623208204</v>
      </c>
      <c r="F13" s="34" t="s">
        <v>137</v>
      </c>
    </row>
    <row r="14" spans="1:10" x14ac:dyDescent="0.2">
      <c r="A14" s="12"/>
      <c r="B14" s="2" t="s">
        <v>136</v>
      </c>
      <c r="C14" s="23">
        <f>'Financial Statements'!B42-'Financial Statements'!B56</f>
        <v>-18577</v>
      </c>
      <c r="D14" s="23">
        <f>'Financial Statements'!C42-'Financial Statements'!C56</f>
        <v>9355</v>
      </c>
      <c r="E14" s="23">
        <f>'Financial Statements'!D42-'Financial Statements'!D56</f>
        <v>38321</v>
      </c>
    </row>
    <row r="15" spans="1:10" x14ac:dyDescent="0.2">
      <c r="A15" s="12"/>
    </row>
    <row r="16" spans="1:10" x14ac:dyDescent="0.2">
      <c r="A16" s="12">
        <f>+A4+1</f>
        <v>2</v>
      </c>
      <c r="B16" s="11" t="s">
        <v>99</v>
      </c>
    </row>
    <row r="17" spans="1:6" x14ac:dyDescent="0.2">
      <c r="A17" s="12">
        <f>+A16+0.1</f>
        <v>2.1</v>
      </c>
      <c r="B17" s="1" t="s">
        <v>138</v>
      </c>
      <c r="C17" s="23">
        <f>('Financial Statements'!B8-'Financial Statements'!B12)/'Financial Statements'!B8*100</f>
        <v>43.309630561360088</v>
      </c>
      <c r="D17" s="23">
        <f>(('Financial Statements'!C8-'Financial Statements'!C12)/'Financial Statements'!C8) * 100</f>
        <v>41.779359625167778</v>
      </c>
      <c r="E17" s="23">
        <f>('Financial Statements'!D8-'Financial Statements'!D12)/'Financial Statements'!D8 *100</f>
        <v>38.233247727810863</v>
      </c>
      <c r="F17" s="34" t="s">
        <v>139</v>
      </c>
    </row>
    <row r="18" spans="1:6" x14ac:dyDescent="0.2">
      <c r="A18" s="12">
        <f>+A17+0.1</f>
        <v>2.2000000000000002</v>
      </c>
      <c r="B18" s="1" t="s">
        <v>140</v>
      </c>
      <c r="C18" s="23">
        <f>(C19/'Financial Statements'!B8) * 100</f>
        <v>33.104674281308959</v>
      </c>
      <c r="D18" s="23">
        <f>D19/'Financial Statements'!C8 * 100</f>
        <v>32.86697993805646</v>
      </c>
      <c r="E18" s="23">
        <f>E19/'Financial Statements'!D8*100</f>
        <v>28.174780977360069</v>
      </c>
      <c r="F18" s="34" t="s">
        <v>141</v>
      </c>
    </row>
    <row r="19" spans="1:6" x14ac:dyDescent="0.2">
      <c r="A19" s="12"/>
      <c r="B19" s="2" t="s">
        <v>142</v>
      </c>
      <c r="C19" s="23">
        <f>'Financial Statements'!B18+'Financial Statements'!B79</f>
        <v>130541</v>
      </c>
      <c r="D19" s="23">
        <f>'Financial Statements'!C18+'Financial Statements'!C79</f>
        <v>120233</v>
      </c>
      <c r="E19" s="23">
        <f>'Financial Statements'!D18+'Financial Statements'!D79</f>
        <v>77344</v>
      </c>
      <c r="F19" s="36" t="s">
        <v>143</v>
      </c>
    </row>
    <row r="20" spans="1:6" x14ac:dyDescent="0.2">
      <c r="A20" s="12">
        <f>+A18+0.1</f>
        <v>2.3000000000000003</v>
      </c>
      <c r="B20" s="1" t="s">
        <v>148</v>
      </c>
      <c r="C20" s="23">
        <f>'List of Ratios'!C21/'Financial Statements'!B8*100</f>
        <v>30.288744395528592</v>
      </c>
      <c r="D20" s="23">
        <f>'List of Ratios'!D21/'Financial Statements'!C8*100</f>
        <v>29.782377527561593</v>
      </c>
      <c r="E20" s="23">
        <f>E21/'Financial Statements'!D8*100</f>
        <v>24.147314354406863</v>
      </c>
      <c r="F20" s="34" t="s">
        <v>147</v>
      </c>
    </row>
    <row r="21" spans="1:6" x14ac:dyDescent="0.2">
      <c r="A21" s="12"/>
      <c r="B21" s="2" t="s">
        <v>145</v>
      </c>
      <c r="C21" s="23">
        <f>'Financial Statements'!B18</f>
        <v>119437</v>
      </c>
      <c r="D21" s="23">
        <f>'Financial Statements'!C18</f>
        <v>108949</v>
      </c>
      <c r="E21" s="23">
        <f>'Financial Statements'!D18</f>
        <v>66288</v>
      </c>
      <c r="F21" s="34" t="s">
        <v>146</v>
      </c>
    </row>
    <row r="22" spans="1:6" x14ac:dyDescent="0.2">
      <c r="A22" s="12">
        <f>+A20+0.1</f>
        <v>2.4000000000000004</v>
      </c>
      <c r="B22" s="1" t="s">
        <v>149</v>
      </c>
      <c r="C22" s="23">
        <f>'Financial Statements'!B22/'Financial Statements'!B8*100</f>
        <v>25.309640705199733</v>
      </c>
      <c r="D22" s="23">
        <f>'Financial Statements'!C22/'Financial Statements'!C8*100</f>
        <v>25.881793355694239</v>
      </c>
      <c r="E22" s="23">
        <f>'Financial Statements'!D22/'Financial Statements'!D8*100</f>
        <v>20.913611278072235</v>
      </c>
      <c r="F22" s="34" t="s">
        <v>150</v>
      </c>
    </row>
    <row r="23" spans="1:6" x14ac:dyDescent="0.2">
      <c r="A23" s="12"/>
    </row>
    <row r="24" spans="1:6" x14ac:dyDescent="0.2">
      <c r="A24" s="12">
        <f>+A16+1</f>
        <v>3</v>
      </c>
      <c r="B24" s="6" t="s">
        <v>100</v>
      </c>
    </row>
    <row r="25" spans="1:6" x14ac:dyDescent="0.2">
      <c r="A25" s="12">
        <f>+A24+0.1</f>
        <v>3.1</v>
      </c>
      <c r="B25" s="1" t="s">
        <v>151</v>
      </c>
      <c r="C25" s="23">
        <f>'Financial Statements'!B62/'Financial Statements'!B68</f>
        <v>5.9615369434796337</v>
      </c>
      <c r="D25" s="23">
        <f>'Financial Statements'!C62/'Financial Statements'!C68</f>
        <v>4.5635124425423994</v>
      </c>
      <c r="E25" s="23">
        <f>'Financial Statements'!D62/'Financial Statements'!D68</f>
        <v>3.9570394404566951</v>
      </c>
      <c r="F25" s="34" t="s">
        <v>152</v>
      </c>
    </row>
    <row r="26" spans="1:6" x14ac:dyDescent="0.2">
      <c r="A26" s="12">
        <f t="shared" ref="A26:A30" si="1">+A25+0.1</f>
        <v>3.2</v>
      </c>
      <c r="B26" s="1" t="s">
        <v>153</v>
      </c>
      <c r="C26" s="23">
        <f>'Financial Statements'!B62/'Financial Statements'!B48</f>
        <v>0.85635355983614692</v>
      </c>
      <c r="D26" s="23">
        <f>'Financial Statements'!C62/'Financial Statements'!C48</f>
        <v>0.82025743443057308</v>
      </c>
      <c r="E26" s="23">
        <f>'Financial Statements'!D62/'Financial Statements'!D48</f>
        <v>0.79826668477992391</v>
      </c>
      <c r="F26" s="34" t="s">
        <v>154</v>
      </c>
    </row>
    <row r="27" spans="1:6" x14ac:dyDescent="0.2">
      <c r="A27" s="12">
        <f t="shared" si="1"/>
        <v>3.3000000000000003</v>
      </c>
      <c r="B27" s="1" t="s">
        <v>155</v>
      </c>
      <c r="C27" s="23">
        <f>('Financial Statements'!B59/('Financial Statements'!B59+'Financial Statements'!B68))</f>
        <v>0.66135359651409131</v>
      </c>
      <c r="D27" s="23">
        <f>('Financial Statements'!C59/('Financial Statements'!C59 + 'Financial Statements'!C68))</f>
        <v>0.63361518269878514</v>
      </c>
      <c r="E27" s="23">
        <f>('Financial Statements'!D59/('Financial Statements'!D59+'Financial Statements'!D68))</f>
        <v>0.60160603880345842</v>
      </c>
      <c r="F27" s="34" t="s">
        <v>156</v>
      </c>
    </row>
    <row r="28" spans="1:6" x14ac:dyDescent="0.2">
      <c r="A28" s="12">
        <f t="shared" si="1"/>
        <v>3.4000000000000004</v>
      </c>
      <c r="B28" s="1" t="s">
        <v>157</v>
      </c>
      <c r="C28" s="37">
        <f>'Financial Statements'!B18/'Financial Statements'!B114</f>
        <v>41.68830715532286</v>
      </c>
      <c r="D28" s="23">
        <f>'Financial Statements'!C18/'Financial Statements'!C114</f>
        <v>40.546706363974693</v>
      </c>
      <c r="E28" s="23">
        <f>'Financial Statements'!D18/'Financial Statements'!D114</f>
        <v>22.081279147235175</v>
      </c>
      <c r="F28" s="34" t="s">
        <v>158</v>
      </c>
    </row>
    <row r="29" spans="1:6" x14ac:dyDescent="0.2">
      <c r="A29" s="12">
        <f t="shared" si="1"/>
        <v>3.5000000000000004</v>
      </c>
      <c r="B29" s="1" t="s">
        <v>162</v>
      </c>
      <c r="C29" s="23">
        <f>'Financial Statements'!B18/('Financial Statements'!B55+'Financial Statements'!B114)</f>
        <v>8.5354820267276494</v>
      </c>
      <c r="D29" s="23">
        <f>'Financial Statements'!C18/('Financial Statements'!C55+'Financial Statements'!C114)</f>
        <v>8.857642276422764</v>
      </c>
      <c r="E29" s="23">
        <f>'Financial Statements'!D18/('Financial Statements'!D55+'Financial Statements'!D114)</f>
        <v>5.6295541401273885</v>
      </c>
      <c r="F29" s="34" t="s">
        <v>160</v>
      </c>
    </row>
    <row r="30" spans="1:6" x14ac:dyDescent="0.2">
      <c r="A30" s="12">
        <f t="shared" si="1"/>
        <v>3.6000000000000005</v>
      </c>
      <c r="B30" s="1" t="s">
        <v>165</v>
      </c>
      <c r="C30" s="23">
        <f>C31*1000/'Financial Statements'!B27</f>
        <v>8.1930996019169502</v>
      </c>
      <c r="D30" s="23">
        <f>D31*1000/'Financial Statements'!C27</f>
        <v>6.8930677854956199</v>
      </c>
      <c r="E30" s="23">
        <f>E31*1000/'Financial Statements'!D27</f>
        <v>5.0704470157218262</v>
      </c>
      <c r="F30" t="s">
        <v>167</v>
      </c>
    </row>
    <row r="31" spans="1:6" x14ac:dyDescent="0.2">
      <c r="A31" s="12"/>
      <c r="B31" s="2" t="s">
        <v>163</v>
      </c>
      <c r="C31" s="23">
        <f>'Financial Statements'!B91-'Financial Statements'!B96</f>
        <v>132859</v>
      </c>
      <c r="D31" s="23">
        <f>'Financial Statements'!C91-'Financial Statements'!C96</f>
        <v>115123</v>
      </c>
      <c r="E31" s="23">
        <f>'Financial Statements'!D91-'Financial Statements'!D96</f>
        <v>87983</v>
      </c>
      <c r="F31" t="s">
        <v>164</v>
      </c>
    </row>
    <row r="32" spans="1:6" x14ac:dyDescent="0.2">
      <c r="A32" s="12"/>
    </row>
    <row r="33" spans="1:6" x14ac:dyDescent="0.2">
      <c r="A33" s="12">
        <f>+A24+1</f>
        <v>4</v>
      </c>
      <c r="B33" s="11" t="s">
        <v>101</v>
      </c>
    </row>
    <row r="34" spans="1:6" x14ac:dyDescent="0.2">
      <c r="A34" s="12">
        <f>+A33+0.1</f>
        <v>4.0999999999999996</v>
      </c>
      <c r="B34" s="1" t="s">
        <v>168</v>
      </c>
      <c r="C34" s="23">
        <f>'Financial Statements'!B8/(('Financial Statements'!C48+'Financial Statements'!B48)/2)</f>
        <v>1.1206368107173357</v>
      </c>
      <c r="D34" s="23">
        <f>'Financial Statements'!C6/(('Financial Statements'!D48+'Financial Statements'!C48)/2)</f>
        <v>0.88130510157210806</v>
      </c>
      <c r="E34" s="23">
        <f>'Financial Statements'!D8/((('Financial Statements'!D48-('Financial Statements'!B84+'Financial Statements'!B85+'Financial Statements'!B86+'Financial Statements'!B87))+'Financial Statements'!D48)/2)</f>
        <v>0.82918261258295145</v>
      </c>
      <c r="F34" t="s">
        <v>169</v>
      </c>
    </row>
    <row r="35" spans="1:6" x14ac:dyDescent="0.2">
      <c r="A35" s="12">
        <f t="shared" ref="A35:A37" si="2">+A34+0.1</f>
        <v>4.1999999999999993</v>
      </c>
      <c r="B35" s="1" t="s">
        <v>171</v>
      </c>
      <c r="C35" s="23">
        <f>'Financial Statements'!B8/(('Financial Statements'!C45+'Financial Statements'!B45)/2)</f>
        <v>9.6699976703409884</v>
      </c>
      <c r="D35" s="23">
        <f>'Financial Statements'!C8/ (('Financial Statements'!D45+'Financial Statements'!C45)/2)</f>
        <v>9.6007400992047867</v>
      </c>
      <c r="E35" s="23">
        <f>'Financial Statements'!D48/(( ('Financial Statements'!D45-'Financial Statements'!D96)+'Financial Statements'!D45)/2)</f>
        <v>8.0129637189050111</v>
      </c>
      <c r="F35" t="s">
        <v>173</v>
      </c>
    </row>
    <row r="36" spans="1:6" x14ac:dyDescent="0.2">
      <c r="A36" s="12">
        <f t="shared" si="2"/>
        <v>4.2999999999999989</v>
      </c>
      <c r="B36" s="1" t="s">
        <v>174</v>
      </c>
      <c r="C36" s="23">
        <f>'Financial Statements'!B12/(('Financial Statements'!C39+'Financial Statements'!B39)/2)</f>
        <v>38.789866389033492</v>
      </c>
      <c r="D36" s="23">
        <f>'Financial Statements'!C12/(('Financial Statements'!D39+'Financial Statements'!C39)/2)</f>
        <v>40.030260313880277</v>
      </c>
      <c r="E36" s="23">
        <f>'Financial Statements'!D12/((('Financial Statements'!D39-'Financial Statements'!D85)+'Financial Statements'!D39)/2)</f>
        <v>41.110195175172748</v>
      </c>
      <c r="F36" t="s">
        <v>175</v>
      </c>
    </row>
    <row r="37" spans="1:6" x14ac:dyDescent="0.2">
      <c r="A37" s="12">
        <f t="shared" si="2"/>
        <v>4.3999999999999986</v>
      </c>
      <c r="B37" s="1" t="s">
        <v>176</v>
      </c>
      <c r="C37" s="23">
        <f>'Financial Statements'!B22/(('Financial Statements'!C48+'Financial Statements'!B48)/2)</f>
        <v>0.28362915040276687</v>
      </c>
      <c r="D37" s="23">
        <f>'Financial Statements'!C22/(('Financial Statements'!D48+'Financial Statements'!C48)/2)</f>
        <v>0.28057905732786081</v>
      </c>
      <c r="E37" s="23">
        <f>'Financial Statements'!D22/((('Financial Statements'!D48-('Financial Statements'!D84+'Financial Statements'!D85+'Financial Statements'!D86+'Financial Statements'!D87))+'Financial Statements'!D48)/2)</f>
        <v>0.17691569302071891</v>
      </c>
      <c r="F37" t="s">
        <v>177</v>
      </c>
    </row>
    <row r="38" spans="1:6" x14ac:dyDescent="0.2">
      <c r="A38" s="12"/>
      <c r="F38"/>
    </row>
    <row r="39" spans="1:6" x14ac:dyDescent="0.2">
      <c r="A39" s="12">
        <f>+A33+1</f>
        <v>5</v>
      </c>
      <c r="B39" s="11" t="s">
        <v>102</v>
      </c>
      <c r="F39"/>
    </row>
    <row r="40" spans="1:6" x14ac:dyDescent="0.2">
      <c r="A40" s="12">
        <f>+A39+0.1</f>
        <v>5.0999999999999996</v>
      </c>
      <c r="B40" s="1" t="s">
        <v>178</v>
      </c>
      <c r="C40" s="23">
        <f>129.93/C41</f>
        <v>21.265139116202946</v>
      </c>
      <c r="D40" s="23">
        <f>177.57/D41</f>
        <v>31.652406417112296</v>
      </c>
      <c r="E40" s="23">
        <f>131.97/E41</f>
        <v>40.234756097560975</v>
      </c>
      <c r="F40" t="s">
        <v>179</v>
      </c>
    </row>
    <row r="41" spans="1:6" x14ac:dyDescent="0.2">
      <c r="A41" s="12">
        <f t="shared" ref="A41:A44" si="3">+A40+0.1</f>
        <v>5.1999999999999993</v>
      </c>
      <c r="B41" s="2" t="s">
        <v>181</v>
      </c>
      <c r="C41" s="23">
        <f>'Financial Statements'!B25</f>
        <v>6.11</v>
      </c>
      <c r="D41" s="23">
        <f>'Financial Statements'!C25</f>
        <v>5.61</v>
      </c>
      <c r="E41" s="23">
        <f>'Financial Statements'!D25</f>
        <v>3.28</v>
      </c>
      <c r="F41" t="s">
        <v>180</v>
      </c>
    </row>
    <row r="42" spans="1:6" x14ac:dyDescent="0.2">
      <c r="A42" s="12">
        <f t="shared" si="3"/>
        <v>5.2999999999999989</v>
      </c>
      <c r="B42" s="1" t="s">
        <v>186</v>
      </c>
      <c r="C42" s="23">
        <f>129.93/C43</f>
        <v>41.579966699360597</v>
      </c>
      <c r="D42" s="23">
        <f>177.57/D43</f>
        <v>47.006575828815976</v>
      </c>
      <c r="E42" s="23">
        <f>131.97/E43</f>
        <v>35.047355246177631</v>
      </c>
      <c r="F42" t="s">
        <v>187</v>
      </c>
    </row>
    <row r="43" spans="1:6" x14ac:dyDescent="0.2">
      <c r="A43" s="12">
        <f t="shared" si="3"/>
        <v>5.3999999999999986</v>
      </c>
      <c r="B43" s="2" t="s">
        <v>188</v>
      </c>
      <c r="C43" s="23">
        <f>('Financial Statements'!B48-'Financial Statements'!B62)*1000/'Financial Statements'!B27</f>
        <v>3.124822127430853</v>
      </c>
      <c r="D43" s="23">
        <f>('Financial Statements'!C48-'Financial Statements'!C62)*1000/'Financial Statements'!C27</f>
        <v>3.7775565837141025</v>
      </c>
      <c r="E43" s="23">
        <f>('Financial Statements'!D48-'Financial Statements'!D62)*1000/'Financial Statements'!D27</f>
        <v>3.765476712094932</v>
      </c>
    </row>
    <row r="44" spans="1:6" x14ac:dyDescent="0.2">
      <c r="A44" s="12">
        <f t="shared" si="3"/>
        <v>5.4999999999999982</v>
      </c>
      <c r="B44" s="1" t="s">
        <v>189</v>
      </c>
      <c r="C44" s="23">
        <f>C45/C41</f>
        <v>0.1497887546633517</v>
      </c>
      <c r="D44" s="23">
        <f>D45/D41</f>
        <v>0.15440667505971273</v>
      </c>
      <c r="E44" s="23">
        <f>E45/E41</f>
        <v>0.24740423949824508</v>
      </c>
      <c r="F44" t="s">
        <v>192</v>
      </c>
    </row>
    <row r="45" spans="1:6" x14ac:dyDescent="0.2">
      <c r="A45" s="12"/>
      <c r="B45" s="2" t="s">
        <v>190</v>
      </c>
      <c r="C45" s="23">
        <f>-'Financial Statements'!B102*1000/'Financial Statements'!B27</f>
        <v>0.91520929099307891</v>
      </c>
      <c r="D45" s="23">
        <f>-'Financial Statements'!C102*1000/'Financial Statements'!C27</f>
        <v>0.86622144708498849</v>
      </c>
      <c r="E45" s="23">
        <f>-'Financial Statements'!D102*1000/'Financial Statements'!D27</f>
        <v>0.81148590555424382</v>
      </c>
      <c r="F45" t="s">
        <v>191</v>
      </c>
    </row>
    <row r="46" spans="1:6" x14ac:dyDescent="0.2">
      <c r="A46" s="12">
        <f>+A44+0.1</f>
        <v>5.5999999999999979</v>
      </c>
      <c r="B46" s="1" t="s">
        <v>194</v>
      </c>
      <c r="C46" s="23">
        <f>C45/129.93</f>
        <v>7.0438643191955584E-3</v>
      </c>
      <c r="D46" s="23">
        <f>D45/177.57</f>
        <v>4.8781970326349528E-3</v>
      </c>
      <c r="E46" s="23">
        <f>E45/131.97</f>
        <v>6.149018000714131E-3</v>
      </c>
      <c r="F46" s="34" t="s">
        <v>193</v>
      </c>
    </row>
    <row r="47" spans="1:6" x14ac:dyDescent="0.2">
      <c r="A47" s="12">
        <f t="shared" ref="A47:A50" si="4">+A45+0.1</f>
        <v>0.1</v>
      </c>
      <c r="B47" s="1" t="s">
        <v>196</v>
      </c>
      <c r="C47" s="23">
        <f>('Financial Statements'!B22/'Financial Statements'!B68)</f>
        <v>1.9695887275023682</v>
      </c>
      <c r="D47" s="23">
        <f>'Financial Statements'!C68/'Financial Statements'!C68</f>
        <v>1</v>
      </c>
      <c r="E47" s="23">
        <f>'Financial Statements'!D22/'Financial Statements'!D68</f>
        <v>0.87866358530127486</v>
      </c>
      <c r="F47" s="34" t="s">
        <v>197</v>
      </c>
    </row>
    <row r="48" spans="1:6" x14ac:dyDescent="0.2">
      <c r="A48" s="12">
        <f t="shared" si="4"/>
        <v>5.6999999999999975</v>
      </c>
      <c r="B48" s="1" t="s">
        <v>198</v>
      </c>
      <c r="C48" s="23">
        <f>'Financial Statements'!B18/('Financial Statements'!B48-'Financial Statements'!B56)*100</f>
        <v>60.087134570590571</v>
      </c>
      <c r="D48" s="41">
        <f>'Financial Statements'!C18/('Financial Statements'!C48-'Financial Statements'!C56) * 100</f>
        <v>48.309913489209436</v>
      </c>
      <c r="E48" s="23">
        <f>'Financial Statements'!D18/('Financial Statements'!D48-'Financial Statements'!D56) * 100</f>
        <v>30.338312829525481</v>
      </c>
      <c r="F48" s="34" t="s">
        <v>199</v>
      </c>
    </row>
    <row r="49" spans="1:6" x14ac:dyDescent="0.2">
      <c r="A49" s="12">
        <f t="shared" si="4"/>
        <v>0.2</v>
      </c>
      <c r="B49" s="1" t="s">
        <v>200</v>
      </c>
      <c r="C49" s="23">
        <f>'Financial Statements'!B22/'Financial Statements'!B48*100</f>
        <v>28.292440929256852</v>
      </c>
      <c r="D49" s="23">
        <f>'Financial Statements'!C22/'Financial Statements'!C48*100</f>
        <v>26.974205275183614</v>
      </c>
      <c r="E49" s="23">
        <f>'Financial Statements'!D22/'Financial Statements'!D48 *100</f>
        <v>17.725571802598431</v>
      </c>
      <c r="F49" s="34" t="s">
        <v>201</v>
      </c>
    </row>
    <row r="50" spans="1:6" x14ac:dyDescent="0.2">
      <c r="A50" s="12">
        <f t="shared" si="4"/>
        <v>5.7999999999999972</v>
      </c>
      <c r="B50" s="1" t="s">
        <v>103</v>
      </c>
      <c r="C50" s="23">
        <f>C51/C19</f>
        <v>18.273010568250587</v>
      </c>
      <c r="D50" s="23">
        <f>D51/D19</f>
        <v>26.769829157053387</v>
      </c>
      <c r="E50" s="23">
        <f>E51/E19</f>
        <v>32.458783414744516</v>
      </c>
      <c r="F50" s="34" t="s">
        <v>204</v>
      </c>
    </row>
    <row r="51" spans="1:6" x14ac:dyDescent="0.2">
      <c r="A51" s="12"/>
      <c r="B51" s="2" t="s">
        <v>203</v>
      </c>
      <c r="C51" s="23">
        <f>(129.93 *'Financial Statements'!B27/1000) + 'Financial Statements'!B62 - 'Financial Statements'!B36</f>
        <v>2385377.07259</v>
      </c>
      <c r="D51" s="23">
        <f>(177.57 *'Financial Statements'!C27/1000) + 'Financial Statements'!C62 - 'Financial Statements'!C36</f>
        <v>3218616.8690399998</v>
      </c>
      <c r="E51" s="23">
        <f>(131.97 *'Financial Statements'!D27/1000) + 'Financial Statements'!D62 - 'Financial Statements'!D36</f>
        <v>2510492.1444299999</v>
      </c>
      <c r="F51" s="34" t="s">
        <v>202</v>
      </c>
    </row>
    <row r="53" spans="1:6" x14ac:dyDescent="0.2">
      <c r="B53" s="11" t="s">
        <v>207</v>
      </c>
    </row>
    <row r="54" spans="1:6" x14ac:dyDescent="0.2">
      <c r="B54" s="1" t="s">
        <v>206</v>
      </c>
    </row>
    <row r="55" spans="1:6" x14ac:dyDescent="0.2">
      <c r="B55" s="2" t="s">
        <v>3</v>
      </c>
    </row>
    <row r="56" spans="1:6" x14ac:dyDescent="0.2">
      <c r="B56" s="42" t="s">
        <v>4</v>
      </c>
      <c r="C56" s="43">
        <f>('Financial Statements'!B6-'Financial Statements'!C6)/'Financial Statements'!C6</f>
        <v>6.3239764351428418E-2</v>
      </c>
      <c r="D56" s="43">
        <f>('Financial Statements'!C10-'Financial Statements'!D10)/'Financial Statements'!D10</f>
        <v>0.27087767539626934</v>
      </c>
      <c r="E56" s="43">
        <f>('Financial Statements'!D6-51529)/51529</f>
        <v>3.2839372004114189</v>
      </c>
    </row>
    <row r="57" spans="1:6" x14ac:dyDescent="0.2">
      <c r="B57" s="42" t="s">
        <v>5</v>
      </c>
      <c r="C57" s="43">
        <f>('Financial Statements'!B7-'Financial Statements'!C7)/'Financial Statements'!B7</f>
        <v>0.12420484071215554</v>
      </c>
      <c r="D57" s="43">
        <f>('Financial Statements'!C7-'Financial Statements'!D7)/'Financial Statements'!D7</f>
        <v>0.27259708376729652</v>
      </c>
      <c r="E57" s="43">
        <f>('Financial Statements'!D7-12511)/12511</f>
        <v>3.2976580609064023</v>
      </c>
    </row>
    <row r="58" spans="1:6" x14ac:dyDescent="0.2">
      <c r="B58" s="42" t="s">
        <v>6</v>
      </c>
      <c r="C58" s="43">
        <f>('Financial Statements'!B8-'Financial Statements'!C8)/'Financial Statements'!C8</f>
        <v>7.7937876041846058E-2</v>
      </c>
      <c r="D58" s="43">
        <f>('Financial Statements'!C8-'Financial Statements'!D8)/'Financial Statements'!D8</f>
        <v>0.33259384733074693</v>
      </c>
      <c r="E58" s="43">
        <f>('Financial Statements'!D8-64040)/64040</f>
        <v>3.2866177389131792</v>
      </c>
    </row>
    <row r="59" spans="1:6" x14ac:dyDescent="0.2">
      <c r="B59" s="2" t="s">
        <v>7</v>
      </c>
      <c r="C59" s="43"/>
      <c r="D59" s="43"/>
      <c r="E59" s="43"/>
    </row>
    <row r="60" spans="1:6" x14ac:dyDescent="0.2">
      <c r="B60" s="42" t="s">
        <v>4</v>
      </c>
      <c r="C60" s="43">
        <f>('Financial Statements'!B10-'Financial Statements'!C10)/'Financial Statements'!B10</f>
        <v>4.5688957715998832E-2</v>
      </c>
      <c r="D60" s="43">
        <f>('Financial Statements'!C10-'Financial Statements'!D10)/'Financial Statements'!D10</f>
        <v>0.27087767539626934</v>
      </c>
      <c r="E60" s="43">
        <f>('Financial Statements'!D10-35238)/35238</f>
        <v>3.2932629547647427</v>
      </c>
    </row>
    <row r="61" spans="1:6" x14ac:dyDescent="0.2">
      <c r="B61" s="42" t="s">
        <v>5</v>
      </c>
      <c r="C61" s="43">
        <f>('Financial Statements'!B11-'Financial Statements'!C11)/'Financial Statements'!C11</f>
        <v>6.5652908520395847E-2</v>
      </c>
      <c r="D61" s="43">
        <f>('Financial Statements'!C11-'Financial Statements'!D11)/'Financial Statements'!D11</f>
        <v>0.13363979642094895</v>
      </c>
      <c r="E61" s="43">
        <f>('Financial Statements'!D11-4489)/4489</f>
        <v>3.0706170639340611</v>
      </c>
    </row>
    <row r="62" spans="1:6" x14ac:dyDescent="0.2">
      <c r="B62" s="42" t="s">
        <v>8</v>
      </c>
      <c r="C62" s="43">
        <f>('Financial Statements'!B12-'Financial Statements'!C12)/'Financial Statements'!C12</f>
        <v>4.9605363858747961E-2</v>
      </c>
      <c r="D62" s="43">
        <f>('Financial Statements'!C12-'Financial Statements'!D12)/'Financial Statements'!D12</f>
        <v>0.25608785142634716</v>
      </c>
      <c r="E62" s="43">
        <f>('Financial Statements'!D12-39727)/39727</f>
        <v>3.2681048153648651</v>
      </c>
    </row>
    <row r="63" spans="1:6" x14ac:dyDescent="0.2">
      <c r="B63" s="1" t="s">
        <v>88</v>
      </c>
      <c r="C63" s="43">
        <f>('Financial Statements'!B13-'Financial Statements'!C13)/'Financial Statements'!C13</f>
        <v>0.11741997958596143</v>
      </c>
      <c r="D63" s="43">
        <f>('Financial Statements'!C13-'Financial Statements'!D13)/'Financial Statements'!D13</f>
        <v>0.45619116582186819</v>
      </c>
      <c r="E63" s="43">
        <f>('Financial Statements'!D13-24313)/24313</f>
        <v>3.3168675194340476</v>
      </c>
    </row>
    <row r="64" spans="1:6" x14ac:dyDescent="0.2">
      <c r="B64" s="1" t="s">
        <v>89</v>
      </c>
      <c r="C64" s="43"/>
      <c r="D64" s="43"/>
      <c r="E64" s="43"/>
    </row>
    <row r="65" spans="2:6" x14ac:dyDescent="0.2">
      <c r="B65" s="2" t="s">
        <v>10</v>
      </c>
      <c r="C65" s="43"/>
      <c r="D65" s="43"/>
    </row>
    <row r="66" spans="2:6" x14ac:dyDescent="0.2">
      <c r="B66" s="42" t="s">
        <v>11</v>
      </c>
      <c r="C66" s="43">
        <f>('Financial Statements'!B15-'Financial Statements'!C15)/'Financial Statements'!B15</f>
        <v>0.16521275379985526</v>
      </c>
      <c r="D66" s="43">
        <f>('Financial Statements'!C15-'Financial Statements'!D15)/'Financial Statements'!D15</f>
        <v>0.16862201365187712</v>
      </c>
      <c r="E66" s="43">
        <f>('Financial Statements'!D15-4110)/4110</f>
        <v>3.562530413625304</v>
      </c>
    </row>
    <row r="67" spans="2:6" x14ac:dyDescent="0.2">
      <c r="B67" s="42" t="s">
        <v>12</v>
      </c>
      <c r="C67" s="43">
        <f>('Financial Statements'!B16-'Financial Statements'!C16)/'Financial Statements'!C16</f>
        <v>0.14203795567287125</v>
      </c>
      <c r="D67" s="43">
        <f>('Financial Statements'!C16-'Financial Statements'!D16)/'Financial Statements'!D16</f>
        <v>0.10328379192608958</v>
      </c>
      <c r="E67" s="43">
        <f>('Financial Statements'!D16-4578)/4578</f>
        <v>3.3503713411970293</v>
      </c>
    </row>
    <row r="68" spans="2:6" x14ac:dyDescent="0.2">
      <c r="B68" s="42" t="s">
        <v>13</v>
      </c>
      <c r="C68" s="43">
        <f>('Financial Statements'!B17-'Financial Statements'!C17)/'Financial Statements'!C17</f>
        <v>0.16993642764372138</v>
      </c>
      <c r="D68" s="43">
        <f>('Financial Statements'!C17-'Financial Statements'!D17)/'Financial Statements'!D17</f>
        <v>0.13496948381090307</v>
      </c>
      <c r="E68" s="43">
        <f>('Financial Statements'!D17-8688)/8688</f>
        <v>3.4507366482504604</v>
      </c>
    </row>
    <row r="69" spans="2:6" x14ac:dyDescent="0.2">
      <c r="B69" s="1" t="s">
        <v>90</v>
      </c>
      <c r="C69" s="43"/>
      <c r="D69" s="43"/>
      <c r="E69" s="43"/>
    </row>
    <row r="70" spans="2:6" x14ac:dyDescent="0.2">
      <c r="B70" s="42" t="s">
        <v>208</v>
      </c>
      <c r="C70" s="43">
        <f>('Financial Statements'!B42-'Financial Statements'!C42)/'Financial Statements'!C42</f>
        <v>4.2199412619775131E-3</v>
      </c>
      <c r="D70" s="43">
        <f>('Financial Statements'!C42-'Financial Statements'!D42)/'Financial Statements'!D42</f>
        <v>-6.176894226687913E-2</v>
      </c>
      <c r="E70" s="43">
        <f>('Financial Statements'!D42-162819)/162819</f>
        <v>-0.11734502730025366</v>
      </c>
    </row>
    <row r="71" spans="2:6" x14ac:dyDescent="0.2">
      <c r="B71" s="42" t="s">
        <v>209</v>
      </c>
      <c r="C71" s="43">
        <f>('Financial Statements'!B47-'Financial Statements'!C47)/'Financial Statements'!C47</f>
        <v>5.4772720964443994E-3</v>
      </c>
      <c r="D71" s="43">
        <f>('Financial Statements'!C47-'Financial Statements'!D47)/'Financial Statements'!D47</f>
        <v>0.19975579297904814</v>
      </c>
      <c r="E71" s="43">
        <f>('Financial Statements'!D47-175697)/175697</f>
        <v>2.548706010916521E-2</v>
      </c>
    </row>
    <row r="72" spans="2:6" x14ac:dyDescent="0.2">
      <c r="B72" s="42" t="s">
        <v>32</v>
      </c>
      <c r="C72" s="43">
        <f>('Financial Statements'!B48-'Financial Statements'!C48)/'Financial Statements'!C48</f>
        <v>4.9942735369029236E-3</v>
      </c>
      <c r="D72" s="43">
        <f>('Financial Statements'!C48-'Financial Statements'!D48)/'Financial Statements'!D48</f>
        <v>8.3714123400681711E-2</v>
      </c>
      <c r="E72" s="43">
        <f>('Financial Statements'!D48-338516)/338516</f>
        <v>-4.3212137683300053E-2</v>
      </c>
    </row>
    <row r="73" spans="2:6" x14ac:dyDescent="0.2">
      <c r="B73" s="42" t="s">
        <v>210</v>
      </c>
      <c r="C73" s="23">
        <f>('Financial Statements'!B56-'Financial Statements'!C56)/'Financial Statements'!C56</f>
        <v>0.22713398841258836</v>
      </c>
      <c r="D73" s="23">
        <f>('Financial Statements'!C56-'Financial Statements'!D56)/'Financial Statements'!D56</f>
        <v>0.19061219067860938</v>
      </c>
      <c r="E73" s="43">
        <f>('Financial Statements'!D56-105718)/105718</f>
        <v>-3.0836754384305416E-3</v>
      </c>
    </row>
    <row r="74" spans="2:6" x14ac:dyDescent="0.2">
      <c r="B74" s="42" t="s">
        <v>211</v>
      </c>
      <c r="C74" s="23">
        <f>('Financial Statements'!B61-'Financial Statements'!C61)/'Financial Statements'!C61</f>
        <v>-8.8222075835277747E-2</v>
      </c>
      <c r="D74" s="23">
        <f>('Financial Statements'!C61-'Financial Statements'!D61)/'Financial Statements'!D61</f>
        <v>6.0552243775994566E-2</v>
      </c>
      <c r="E74" s="43">
        <f>('Financial Statements'!D61-142310)/142310</f>
        <v>7.6220926147143556E-2</v>
      </c>
    </row>
    <row r="75" spans="2:6" x14ac:dyDescent="0.2">
      <c r="B75" s="42" t="s">
        <v>40</v>
      </c>
      <c r="C75" s="23">
        <f>('Financial Statements'!B62-'Financial Statements'!C62)/'Financial Statements'!C62</f>
        <v>4.9219900525160468E-2</v>
      </c>
      <c r="D75" s="23">
        <f>('Financial Statements'!C62-'Financial Statements'!D62)/'Financial Statements'!D62</f>
        <v>0.11356841449783213</v>
      </c>
      <c r="E75" s="43">
        <f>('Financial Statements'!D62-248028)/248028</f>
        <v>4.2418597900237068E-2</v>
      </c>
    </row>
    <row r="76" spans="2:6" x14ac:dyDescent="0.2">
      <c r="B76" s="42" t="s">
        <v>44</v>
      </c>
      <c r="C76" s="23">
        <f>('Financial Statements'!B68-'Financial Statements'!C68)/'Financial Statements'!C68</f>
        <v>-0.19682992550324932</v>
      </c>
      <c r="D76" s="23">
        <f>('Financial Statements'!C68-'Financial Statements'!D68)/'Financial Statements'!D68</f>
        <v>-3.4420483937617659E-2</v>
      </c>
      <c r="E76" s="43">
        <f>('Financial Statements'!D68-90488)/90488</f>
        <v>-0.27792635487578465</v>
      </c>
    </row>
    <row r="77" spans="2:6" x14ac:dyDescent="0.2">
      <c r="B77" s="42" t="s">
        <v>45</v>
      </c>
      <c r="C77" s="23">
        <f>('Financial Statements'!B69-'Financial Statements'!C69)/'Financial Statements'!C69</f>
        <v>4.9942735369029236E-3</v>
      </c>
      <c r="D77" s="23">
        <f>('Financial Statements'!C69-'Financial Statements'!D69)/'Financial Statements'!D69</f>
        <v>8.3714123400681711E-2</v>
      </c>
      <c r="E77" s="43">
        <f>('Financial Statements'!D69-338516)/338516</f>
        <v>-4.3212137683300053E-2</v>
      </c>
    </row>
    <row r="78" spans="2:6" x14ac:dyDescent="0.2">
      <c r="B78" s="1"/>
    </row>
    <row r="79" spans="2:6" x14ac:dyDescent="0.2">
      <c r="B79" s="11" t="s">
        <v>213</v>
      </c>
    </row>
    <row r="80" spans="2:6" x14ac:dyDescent="0.2">
      <c r="B80" s="1" t="s">
        <v>109</v>
      </c>
      <c r="C80" s="43">
        <f>'Financial Statements'!B12/'Financial Statements'!B8</f>
        <v>0.56690369438639909</v>
      </c>
      <c r="D80" s="43">
        <f>'Financial Statements'!C12/'Financial Statements'!C8</f>
        <v>0.58220640374832222</v>
      </c>
      <c r="E80" s="43">
        <f>'Financial Statements'!D12/'Financial Statements'!D8</f>
        <v>0.61766752272189129</v>
      </c>
      <c r="F80" t="s">
        <v>212</v>
      </c>
    </row>
    <row r="81" spans="2:6" x14ac:dyDescent="0.2">
      <c r="B81" s="1" t="s">
        <v>88</v>
      </c>
      <c r="C81" s="43">
        <f>'Financial Statements'!B13/'Financial Statements'!B8</f>
        <v>0.43309630561360085</v>
      </c>
      <c r="D81" s="43">
        <f>'Financial Statements'!C13/'Financial Statements'!C8</f>
        <v>0.41779359625167778</v>
      </c>
      <c r="E81" s="43">
        <f>'Financial Statements'!D13/'Financial Statements'!D8</f>
        <v>0.38233247727810865</v>
      </c>
      <c r="F81" t="s">
        <v>214</v>
      </c>
    </row>
    <row r="82" spans="2:6" x14ac:dyDescent="0.2">
      <c r="B82" s="1" t="s">
        <v>89</v>
      </c>
      <c r="C82" s="43"/>
      <c r="D82" s="43"/>
      <c r="E82" s="43"/>
    </row>
    <row r="83" spans="2:6" x14ac:dyDescent="0.2">
      <c r="B83" s="42" t="s">
        <v>11</v>
      </c>
      <c r="C83" s="43">
        <f>'Financial Statements'!B15/'Financial Statements'!B8</f>
        <v>6.657148363798665E-2</v>
      </c>
      <c r="D83" s="43">
        <f>'Financial Statements'!C15/'Financial Statements'!C8</f>
        <v>5.9904269074427925E-2</v>
      </c>
      <c r="E83" s="43">
        <f>'Financial Statements'!D15/'Financial Statements'!D8</f>
        <v>6.8309564140393061E-2</v>
      </c>
      <c r="F83" t="s">
        <v>215</v>
      </c>
    </row>
    <row r="84" spans="2:6" x14ac:dyDescent="0.2">
      <c r="B84" s="42" t="s">
        <v>216</v>
      </c>
      <c r="C84" s="43">
        <f>'Financial Statements'!B16/'Financial Statements'!B8</f>
        <v>6.3637378020328261E-2</v>
      </c>
      <c r="D84" s="43">
        <f>'Financial Statements'!C16/'Financial Statements'!C8</f>
        <v>6.006555190163388E-2</v>
      </c>
      <c r="E84" s="43">
        <f>'Financial Statements'!D16/'Financial Statements'!D8</f>
        <v>7.2549769593646979E-2</v>
      </c>
      <c r="F84" t="s">
        <v>217</v>
      </c>
    </row>
    <row r="85" spans="2:6" x14ac:dyDescent="0.2">
      <c r="B85" s="42" t="s">
        <v>13</v>
      </c>
      <c r="C85" s="43">
        <f>'Financial Statements'!B17/'Financial Statements'!B8</f>
        <v>0.13020886165831491</v>
      </c>
      <c r="D85" s="43">
        <f>'Financial Statements'!C17/'Financial Statements'!C8</f>
        <v>0.11996982097606181</v>
      </c>
      <c r="E85" s="43">
        <f>'Financial Statements'!D17/'Financial Statements'!D8</f>
        <v>0.14085933373404003</v>
      </c>
      <c r="F85" t="s">
        <v>218</v>
      </c>
    </row>
    <row r="86" spans="2:6" x14ac:dyDescent="0.2">
      <c r="B86" s="1" t="s">
        <v>221</v>
      </c>
      <c r="C86" s="43">
        <f>('Financial Statements'!B18/'Financial Statements'!B8)</f>
        <v>0.30288744395528594</v>
      </c>
      <c r="D86" s="43">
        <f>'Financial Statements'!C18/'Financial Statements'!C8</f>
        <v>0.29782377527561593</v>
      </c>
      <c r="E86" s="43">
        <f>'Financial Statements'!D18/'Financial Statements'!D8</f>
        <v>0.24147314354406862</v>
      </c>
      <c r="F86" t="s">
        <v>222</v>
      </c>
    </row>
    <row r="87" spans="2:6" x14ac:dyDescent="0.2">
      <c r="B87" s="1" t="s">
        <v>220</v>
      </c>
      <c r="C87" s="43">
        <f>'Financial Statements'!B22/'Financial Statements'!B8</f>
        <v>0.25309640705199732</v>
      </c>
      <c r="D87" s="43">
        <f>'Financial Statements'!C22/'Financial Statements'!C8</f>
        <v>0.25881793355694238</v>
      </c>
      <c r="E87" s="43">
        <f>'Financial Statements'!D22/'Financial Statements'!D8</f>
        <v>0.20913611278072236</v>
      </c>
      <c r="F87" t="s">
        <v>219</v>
      </c>
    </row>
    <row r="88" spans="2:6" x14ac:dyDescent="0.2">
      <c r="B88" s="1"/>
    </row>
    <row r="89" spans="2:6" x14ac:dyDescent="0.2">
      <c r="B89" s="11" t="s">
        <v>205</v>
      </c>
    </row>
    <row r="90" spans="2:6" x14ac:dyDescent="0.2">
      <c r="B90" s="44" t="s">
        <v>224</v>
      </c>
      <c r="C90" s="43">
        <f>'Financial Statements'!B21/'Financial Statements'!B20</f>
        <v>0.16204461684424407</v>
      </c>
      <c r="D90" s="43">
        <f>'Financial Statements'!C21/'Financial Statements'!C20</f>
        <v>0.13302260844085087</v>
      </c>
      <c r="E90" s="43">
        <f>'Financial Statements'!D21/'Financial Statements'!D20</f>
        <v>0.14428164731484103</v>
      </c>
      <c r="F90" t="s">
        <v>223</v>
      </c>
    </row>
    <row r="91" spans="2:6" x14ac:dyDescent="0.2">
      <c r="B91" s="1" t="s">
        <v>94</v>
      </c>
      <c r="C91" s="43">
        <f>-'Financial Statements'!B96/'Financial Statements'!B8</f>
        <v>2.7155058732831552E-2</v>
      </c>
      <c r="D91" s="43">
        <f>-'Financial Statements'!C96/'Financial Statements'!C8</f>
        <v>3.0302036264033657E-2</v>
      </c>
      <c r="E91" s="43">
        <f>-'Financial Statements'!D96/'Financial Statements'!D8</f>
        <v>2.6625138881299748E-2</v>
      </c>
      <c r="F91" t="s">
        <v>226</v>
      </c>
    </row>
    <row r="92" spans="2:6" x14ac:dyDescent="0.2">
      <c r="B92" s="1" t="s">
        <v>95</v>
      </c>
      <c r="C92" s="43">
        <f>-'Financial Statements'!B96/'Financial Statements'!B45</f>
        <v>0.25424412944891611</v>
      </c>
      <c r="D92" s="43">
        <f>-'Financial Statements'!C96/'Financial Statements'!C45</f>
        <v>0.28105983772819471</v>
      </c>
      <c r="E92" s="43">
        <f>-'Financial Statements'!D96/'Financial Statements'!D45</f>
        <v>0.19879780231735844</v>
      </c>
      <c r="F92" t="s">
        <v>227</v>
      </c>
    </row>
    <row r="96" spans="2:6" x14ac:dyDescent="0.2">
      <c r="B96" s="45" t="s">
        <v>123</v>
      </c>
    </row>
    <row r="97" spans="2:2" x14ac:dyDescent="0.2">
      <c r="B97" s="45" t="s">
        <v>129</v>
      </c>
    </row>
    <row r="98" spans="2:2" x14ac:dyDescent="0.2">
      <c r="B98" t="s">
        <v>134</v>
      </c>
    </row>
    <row r="99" spans="2:2" x14ac:dyDescent="0.2">
      <c r="B99" s="45" t="s">
        <v>144</v>
      </c>
    </row>
    <row r="100" spans="2:2" x14ac:dyDescent="0.2">
      <c r="B100" s="45" t="s">
        <v>159</v>
      </c>
    </row>
    <row r="101" spans="2:2" x14ac:dyDescent="0.2">
      <c r="B101" s="45" t="s">
        <v>161</v>
      </c>
    </row>
    <row r="102" spans="2:2" x14ac:dyDescent="0.2">
      <c r="B102" t="s">
        <v>166</v>
      </c>
    </row>
    <row r="103" spans="2:2" x14ac:dyDescent="0.2">
      <c r="B103" s="46" t="s">
        <v>170</v>
      </c>
    </row>
    <row r="104" spans="2:2" x14ac:dyDescent="0.2">
      <c r="B104" t="s">
        <v>172</v>
      </c>
    </row>
    <row r="105" spans="2:2" x14ac:dyDescent="0.2">
      <c r="B105" s="45" t="s">
        <v>182</v>
      </c>
    </row>
    <row r="106" spans="2:2" x14ac:dyDescent="0.2">
      <c r="B106" s="45" t="s">
        <v>195</v>
      </c>
    </row>
    <row r="107" spans="2:2" x14ac:dyDescent="0.2">
      <c r="B107" s="45" t="s">
        <v>225</v>
      </c>
    </row>
  </sheetData>
  <mergeCells count="1">
    <mergeCell ref="C2:E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Kazanci,Deniz</cp:lastModifiedBy>
  <dcterms:created xsi:type="dcterms:W3CDTF">2020-05-18T16:32:37Z</dcterms:created>
  <dcterms:modified xsi:type="dcterms:W3CDTF">2024-09-02T05:57:37Z</dcterms:modified>
</cp:coreProperties>
</file>