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oao\Desktop\"/>
    </mc:Choice>
  </mc:AlternateContent>
  <xr:revisionPtr revIDLastSave="0" documentId="8_{527F7ED4-2AF9-49B1-97F7-F15323596580}" xr6:coauthVersionLast="47" xr6:coauthVersionMax="47" xr10:uidLastSave="{00000000-0000-0000-0000-000000000000}"/>
  <bookViews>
    <workbookView xWindow="-110" yWindow="-110" windowWidth="25820" windowHeight="139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9" i="3" l="1"/>
  <c r="L79" i="3"/>
  <c r="M79" i="3"/>
  <c r="N79" i="3"/>
  <c r="J79" i="3"/>
  <c r="K73" i="3"/>
  <c r="L73" i="3"/>
  <c r="M73" i="3"/>
  <c r="N73" i="3"/>
  <c r="J73" i="3"/>
  <c r="K69" i="3"/>
  <c r="L69" i="3" s="1"/>
  <c r="M69" i="3" s="1"/>
  <c r="N69" i="3" s="1"/>
  <c r="J69" i="3"/>
  <c r="K66" i="3"/>
  <c r="L66" i="3"/>
  <c r="M66" i="3"/>
  <c r="N66" i="3"/>
  <c r="J66" i="3"/>
  <c r="K62" i="3"/>
  <c r="L62" i="3" s="1"/>
  <c r="M62" i="3" s="1"/>
  <c r="N62" i="3" s="1"/>
  <c r="J62" i="3"/>
  <c r="K58" i="3"/>
  <c r="L58" i="3" s="1"/>
  <c r="M58" i="3" s="1"/>
  <c r="N58" i="3" s="1"/>
  <c r="J58" i="3"/>
  <c r="K54" i="3"/>
  <c r="L54" i="3" s="1"/>
  <c r="M54" i="3" s="1"/>
  <c r="N54" i="3" s="1"/>
  <c r="J54" i="3"/>
  <c r="J53" i="3"/>
  <c r="J55" i="3"/>
  <c r="J59" i="3"/>
  <c r="K52" i="3"/>
  <c r="L52" i="3"/>
  <c r="M52" i="3" s="1"/>
  <c r="N52" i="3" s="1"/>
  <c r="J52" i="3"/>
  <c r="J21" i="3"/>
  <c r="K21" i="3" s="1"/>
  <c r="L21" i="3" s="1"/>
  <c r="M21" i="3" s="1"/>
  <c r="N21" i="3" s="1"/>
  <c r="K48" i="3"/>
  <c r="L48" i="3" s="1"/>
  <c r="M48" i="3" s="1"/>
  <c r="N48" i="3" s="1"/>
  <c r="J48" i="3"/>
  <c r="K45" i="3"/>
  <c r="L45" i="3"/>
  <c r="M45" i="3"/>
  <c r="N45" i="3"/>
  <c r="J45" i="3"/>
  <c r="K42" i="3"/>
  <c r="L42" i="3" s="1"/>
  <c r="M42" i="3" s="1"/>
  <c r="N42" i="3" s="1"/>
  <c r="J42" i="3"/>
  <c r="K38" i="3"/>
  <c r="L38" i="3" s="1"/>
  <c r="M38" i="3" s="1"/>
  <c r="N38" i="3" s="1"/>
  <c r="J38" i="3"/>
  <c r="K35" i="3"/>
  <c r="L35" i="3" s="1"/>
  <c r="M35" i="3" s="1"/>
  <c r="N35" i="3" s="1"/>
  <c r="J35" i="3"/>
  <c r="K31" i="3"/>
  <c r="L31" i="3"/>
  <c r="M31" i="3"/>
  <c r="N31" i="3"/>
  <c r="J31" i="3"/>
  <c r="K27" i="3"/>
  <c r="L27" i="3"/>
  <c r="M27" i="3"/>
  <c r="N27" i="3"/>
  <c r="J27" i="3"/>
  <c r="J24" i="3"/>
  <c r="K23" i="3"/>
  <c r="L23" i="3"/>
  <c r="M23" i="3" s="1"/>
  <c r="N23" i="3" s="1"/>
  <c r="J23" i="3"/>
  <c r="K17" i="3"/>
  <c r="L17" i="3" s="1"/>
  <c r="M17" i="3" s="1"/>
  <c r="N17" i="3" s="1"/>
  <c r="J17" i="3"/>
  <c r="K14" i="3"/>
  <c r="L14" i="3" s="1"/>
  <c r="M14" i="3" s="1"/>
  <c r="N14" i="3" s="1"/>
  <c r="J14" i="3"/>
  <c r="K11" i="3"/>
  <c r="L11" i="3" s="1"/>
  <c r="M11" i="3" s="1"/>
  <c r="N11" i="3" s="1"/>
  <c r="J11" i="3"/>
  <c r="K8" i="3"/>
  <c r="L8" i="3"/>
  <c r="M8" i="3" s="1"/>
  <c r="N8" i="3" s="1"/>
  <c r="J8" i="3"/>
  <c r="K5" i="3"/>
  <c r="L5" i="3"/>
  <c r="M5" i="3" s="1"/>
  <c r="N5" i="3" s="1"/>
  <c r="J5" i="3"/>
  <c r="K3" i="3"/>
  <c r="L3" i="3"/>
  <c r="M3" i="3"/>
  <c r="N3" i="3"/>
  <c r="J3" i="3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B54" i="3"/>
  <c r="C69" i="3"/>
  <c r="D69" i="3"/>
  <c r="E69" i="3"/>
  <c r="F69" i="3"/>
  <c r="G69" i="3"/>
  <c r="H69" i="3"/>
  <c r="I69" i="3"/>
  <c r="B69" i="3"/>
  <c r="B66" i="3" s="1"/>
  <c r="C73" i="3"/>
  <c r="D73" i="3"/>
  <c r="E73" i="3"/>
  <c r="F73" i="3"/>
  <c r="G73" i="3"/>
  <c r="H73" i="3"/>
  <c r="I73" i="3"/>
  <c r="B73" i="3"/>
  <c r="C79" i="3"/>
  <c r="D79" i="3"/>
  <c r="E79" i="3"/>
  <c r="F79" i="3"/>
  <c r="G79" i="3"/>
  <c r="H79" i="3"/>
  <c r="I79" i="3"/>
  <c r="B79" i="3"/>
  <c r="C17" i="3"/>
  <c r="D17" i="3"/>
  <c r="E17" i="3"/>
  <c r="F17" i="3"/>
  <c r="G17" i="3"/>
  <c r="H17" i="3"/>
  <c r="I17" i="3"/>
  <c r="B17" i="3"/>
  <c r="B27" i="3"/>
  <c r="I175" i="1"/>
  <c r="I176" i="1" s="1"/>
  <c r="H175" i="1"/>
  <c r="H176" i="1" s="1"/>
  <c r="F175" i="1"/>
  <c r="F176" i="1" s="1"/>
  <c r="I172" i="1"/>
  <c r="H172" i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E163" i="1"/>
  <c r="D163" i="1"/>
  <c r="C163" i="1"/>
  <c r="B163" i="1"/>
  <c r="I161" i="1"/>
  <c r="I163" i="1" s="1"/>
  <c r="I164" i="1" s="1"/>
  <c r="I165" i="1" s="1"/>
  <c r="H161" i="1"/>
  <c r="H163" i="1" s="1"/>
  <c r="H164" i="1" s="1"/>
  <c r="H165" i="1" s="1"/>
  <c r="G161" i="1"/>
  <c r="G163" i="1" s="1"/>
  <c r="G164" i="1" s="1"/>
  <c r="G165" i="1" s="1"/>
  <c r="F161" i="1"/>
  <c r="F163" i="1" s="1"/>
  <c r="F164" i="1" s="1"/>
  <c r="F165" i="1" s="1"/>
  <c r="E161" i="1"/>
  <c r="E164" i="1" s="1"/>
  <c r="E165" i="1" s="1"/>
  <c r="D161" i="1"/>
  <c r="D164" i="1" s="1"/>
  <c r="D165" i="1" s="1"/>
  <c r="C161" i="1"/>
  <c r="C164" i="1" s="1"/>
  <c r="C165" i="1" s="1"/>
  <c r="B161" i="1"/>
  <c r="B164" i="1" s="1"/>
  <c r="B165" i="1" s="1"/>
  <c r="E153" i="1"/>
  <c r="E154" i="1" s="1"/>
  <c r="D153" i="1"/>
  <c r="D154" i="1" s="1"/>
  <c r="C153" i="1"/>
  <c r="C154" i="1" s="1"/>
  <c r="B153" i="1"/>
  <c r="B154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D150" i="1"/>
  <c r="C150" i="1"/>
  <c r="B150" i="1"/>
  <c r="I142" i="1"/>
  <c r="I143" i="1" s="1"/>
  <c r="H142" i="1"/>
  <c r="H143" i="1" s="1"/>
  <c r="G142" i="1"/>
  <c r="G143" i="1" s="1"/>
  <c r="F142" i="1"/>
  <c r="F143" i="1" s="1"/>
  <c r="E142" i="1"/>
  <c r="E143" i="1" s="1"/>
  <c r="D142" i="1"/>
  <c r="D143" i="1" s="1"/>
  <c r="C142" i="1"/>
  <c r="C143" i="1" s="1"/>
  <c r="B142" i="1"/>
  <c r="B143" i="1" s="1"/>
  <c r="I139" i="1"/>
  <c r="H139" i="1"/>
  <c r="G139" i="1"/>
  <c r="F139" i="1"/>
  <c r="E139" i="1"/>
  <c r="D139" i="1"/>
  <c r="C139" i="1"/>
  <c r="B139" i="1"/>
  <c r="I131" i="1"/>
  <c r="B132" i="1" s="1"/>
  <c r="H131" i="1"/>
  <c r="H132" i="1" s="1"/>
  <c r="G131" i="1"/>
  <c r="G132" i="1" s="1"/>
  <c r="F131" i="1"/>
  <c r="F132" i="1" s="1"/>
  <c r="E131" i="1"/>
  <c r="E132" i="1" s="1"/>
  <c r="I124" i="1"/>
  <c r="H124" i="1"/>
  <c r="G124" i="1"/>
  <c r="F124" i="1"/>
  <c r="E124" i="1"/>
  <c r="D124" i="1"/>
  <c r="D131" i="1" s="1"/>
  <c r="D132" i="1" s="1"/>
  <c r="C124" i="1"/>
  <c r="C131" i="1" s="1"/>
  <c r="C132" i="1" s="1"/>
  <c r="B124" i="1"/>
  <c r="B131" i="1" s="1"/>
  <c r="I97" i="1"/>
  <c r="H97" i="1"/>
  <c r="G97" i="1"/>
  <c r="F97" i="1"/>
  <c r="E97" i="1"/>
  <c r="D97" i="1"/>
  <c r="C97" i="1"/>
  <c r="B97" i="1"/>
  <c r="I94" i="1"/>
  <c r="I92" i="1"/>
  <c r="H92" i="1"/>
  <c r="G92" i="1"/>
  <c r="F92" i="1"/>
  <c r="E92" i="1"/>
  <c r="D92" i="1"/>
  <c r="C92" i="1"/>
  <c r="B92" i="1"/>
  <c r="I83" i="1"/>
  <c r="H83" i="1"/>
  <c r="G83" i="1"/>
  <c r="F83" i="1"/>
  <c r="E83" i="1"/>
  <c r="D83" i="1"/>
  <c r="C83" i="1"/>
  <c r="B83" i="1"/>
  <c r="I76" i="1"/>
  <c r="H76" i="1"/>
  <c r="H94" i="1" s="1"/>
  <c r="G76" i="1"/>
  <c r="G94" i="1" s="1"/>
  <c r="F76" i="1"/>
  <c r="F94" i="1" s="1"/>
  <c r="E76" i="1"/>
  <c r="E94" i="1" s="1"/>
  <c r="D76" i="1"/>
  <c r="D94" i="1" s="1"/>
  <c r="C76" i="1"/>
  <c r="C94" i="1" s="1"/>
  <c r="B76" i="1"/>
  <c r="B94" i="1" s="1"/>
  <c r="I59" i="1"/>
  <c r="I60" i="1" s="1"/>
  <c r="I58" i="1"/>
  <c r="H58" i="1"/>
  <c r="H59" i="1" s="1"/>
  <c r="H60" i="1" s="1"/>
  <c r="G58" i="1"/>
  <c r="G59" i="1" s="1"/>
  <c r="G60" i="1" s="1"/>
  <c r="F58" i="1"/>
  <c r="F59" i="1" s="1"/>
  <c r="F60" i="1" s="1"/>
  <c r="E58" i="1"/>
  <c r="E59" i="1" s="1"/>
  <c r="E60" i="1" s="1"/>
  <c r="D58" i="1"/>
  <c r="D59" i="1" s="1"/>
  <c r="D60" i="1" s="1"/>
  <c r="C58" i="1"/>
  <c r="C59" i="1" s="1"/>
  <c r="C60" i="1" s="1"/>
  <c r="B58" i="1"/>
  <c r="B59" i="1" s="1"/>
  <c r="B60" i="1" s="1"/>
  <c r="I20" i="1"/>
  <c r="H20" i="1"/>
  <c r="G20" i="1"/>
  <c r="F20" i="1"/>
  <c r="E20" i="1"/>
  <c r="D20" i="1"/>
  <c r="C20" i="1"/>
  <c r="C80" i="3" l="1"/>
  <c r="B80" i="3"/>
  <c r="I76" i="3"/>
  <c r="H76" i="3"/>
  <c r="G76" i="3"/>
  <c r="F76" i="3"/>
  <c r="E76" i="3"/>
  <c r="E77" i="3" s="1"/>
  <c r="D76" i="3"/>
  <c r="C76" i="3"/>
  <c r="B76" i="3"/>
  <c r="B77" i="3" s="1"/>
  <c r="H74" i="3"/>
  <c r="G74" i="3"/>
  <c r="F74" i="3"/>
  <c r="B75" i="3"/>
  <c r="I70" i="3"/>
  <c r="H70" i="3"/>
  <c r="G70" i="3"/>
  <c r="F70" i="3"/>
  <c r="E70" i="3"/>
  <c r="B71" i="3"/>
  <c r="K65" i="3"/>
  <c r="L65" i="3" s="1"/>
  <c r="M65" i="3" s="1"/>
  <c r="N65" i="3" s="1"/>
  <c r="K64" i="3"/>
  <c r="L64" i="3" s="1"/>
  <c r="M64" i="3" s="1"/>
  <c r="N64" i="3" s="1"/>
  <c r="I64" i="3"/>
  <c r="H64" i="3"/>
  <c r="G64" i="3"/>
  <c r="F64" i="3"/>
  <c r="E64" i="3"/>
  <c r="D64" i="3"/>
  <c r="C64" i="3"/>
  <c r="B64" i="3"/>
  <c r="K63" i="3"/>
  <c r="J63" i="3"/>
  <c r="B63" i="3"/>
  <c r="B65" i="3" s="1"/>
  <c r="K61" i="3"/>
  <c r="L61" i="3" s="1"/>
  <c r="M61" i="3" s="1"/>
  <c r="N61" i="3" s="1"/>
  <c r="K60" i="3"/>
  <c r="K59" i="3" s="1"/>
  <c r="I60" i="3"/>
  <c r="H60" i="3"/>
  <c r="G60" i="3"/>
  <c r="F60" i="3"/>
  <c r="E60" i="3"/>
  <c r="D60" i="3"/>
  <c r="C60" i="3"/>
  <c r="B60" i="3"/>
  <c r="F59" i="3"/>
  <c r="E59" i="3"/>
  <c r="D59" i="3"/>
  <c r="C59" i="3"/>
  <c r="C61" i="3" s="1"/>
  <c r="B59" i="3"/>
  <c r="B61" i="3" s="1"/>
  <c r="I59" i="3"/>
  <c r="H59" i="3"/>
  <c r="G59" i="3"/>
  <c r="K57" i="3"/>
  <c r="L57" i="3" s="1"/>
  <c r="M57" i="3" s="1"/>
  <c r="N57" i="3" s="1"/>
  <c r="K56" i="3"/>
  <c r="L56" i="3" s="1"/>
  <c r="M56" i="3" s="1"/>
  <c r="N56" i="3" s="1"/>
  <c r="N55" i="3" s="1"/>
  <c r="I56" i="3"/>
  <c r="H56" i="3"/>
  <c r="G56" i="3"/>
  <c r="F56" i="3"/>
  <c r="E56" i="3"/>
  <c r="D56" i="3"/>
  <c r="C56" i="3"/>
  <c r="B56" i="3"/>
  <c r="I55" i="3"/>
  <c r="I57" i="3" s="1"/>
  <c r="B55" i="3"/>
  <c r="B57" i="3" s="1"/>
  <c r="I52" i="3"/>
  <c r="H52" i="3"/>
  <c r="G52" i="3"/>
  <c r="F52" i="3"/>
  <c r="E52" i="3"/>
  <c r="E53" i="3" s="1"/>
  <c r="D52" i="3"/>
  <c r="D53" i="3" s="1"/>
  <c r="C52" i="3"/>
  <c r="C53" i="3" s="1"/>
  <c r="B52" i="3"/>
  <c r="B53" i="3" s="1"/>
  <c r="C13" i="3"/>
  <c r="B21" i="3"/>
  <c r="A51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K55" i="3" l="1"/>
  <c r="F53" i="3"/>
  <c r="E63" i="3"/>
  <c r="E65" i="3" s="1"/>
  <c r="B72" i="3"/>
  <c r="F63" i="3"/>
  <c r="F65" i="3" s="1"/>
  <c r="G63" i="3"/>
  <c r="G65" i="3" s="1"/>
  <c r="H63" i="3"/>
  <c r="H65" i="3" s="1"/>
  <c r="I63" i="3"/>
  <c r="I65" i="3" s="1"/>
  <c r="B70" i="3"/>
  <c r="C55" i="3"/>
  <c r="C57" i="3" s="1"/>
  <c r="C70" i="3"/>
  <c r="D55" i="3"/>
  <c r="D57" i="3" s="1"/>
  <c r="D70" i="3"/>
  <c r="G55" i="3"/>
  <c r="G57" i="3" s="1"/>
  <c r="H55" i="3"/>
  <c r="H57" i="3" s="1"/>
  <c r="H80" i="3"/>
  <c r="B81" i="3"/>
  <c r="B78" i="3"/>
  <c r="N63" i="3"/>
  <c r="I72" i="3"/>
  <c r="J72" i="3" s="1"/>
  <c r="I66" i="3"/>
  <c r="E55" i="3"/>
  <c r="E57" i="3" s="1"/>
  <c r="E80" i="3"/>
  <c r="E72" i="3"/>
  <c r="F80" i="3"/>
  <c r="F72" i="3"/>
  <c r="H53" i="3"/>
  <c r="I74" i="3"/>
  <c r="I53" i="3"/>
  <c r="G77" i="3"/>
  <c r="L60" i="3"/>
  <c r="C72" i="3"/>
  <c r="L55" i="3"/>
  <c r="E61" i="3"/>
  <c r="B74" i="3"/>
  <c r="M55" i="3"/>
  <c r="F61" i="3"/>
  <c r="C74" i="3"/>
  <c r="C66" i="3"/>
  <c r="G61" i="3"/>
  <c r="D74" i="3"/>
  <c r="D66" i="3"/>
  <c r="E74" i="3"/>
  <c r="E66" i="3"/>
  <c r="F66" i="3"/>
  <c r="C77" i="3"/>
  <c r="D63" i="3"/>
  <c r="D65" i="3" s="1"/>
  <c r="G66" i="3"/>
  <c r="D77" i="3"/>
  <c r="F77" i="3"/>
  <c r="D80" i="3"/>
  <c r="D72" i="3"/>
  <c r="F55" i="3"/>
  <c r="F57" i="3" s="1"/>
  <c r="G53" i="3"/>
  <c r="G80" i="3"/>
  <c r="G72" i="3"/>
  <c r="H72" i="3"/>
  <c r="H77" i="3"/>
  <c r="I77" i="3"/>
  <c r="I80" i="3"/>
  <c r="L63" i="3"/>
  <c r="D61" i="3"/>
  <c r="M63" i="3"/>
  <c r="H61" i="3"/>
  <c r="I61" i="3"/>
  <c r="C63" i="3"/>
  <c r="C65" i="3" s="1"/>
  <c r="H66" i="3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K25" i="3"/>
  <c r="L25" i="3" s="1"/>
  <c r="M25" i="3" s="1"/>
  <c r="N25" i="3" s="1"/>
  <c r="N24" i="3" s="1"/>
  <c r="K26" i="3"/>
  <c r="L26" i="3" s="1"/>
  <c r="M26" i="3" s="1"/>
  <c r="N26" i="3" s="1"/>
  <c r="G67" i="3" l="1"/>
  <c r="L59" i="3"/>
  <c r="M60" i="3"/>
  <c r="F67" i="3"/>
  <c r="E67" i="3"/>
  <c r="D67" i="3"/>
  <c r="C67" i="3"/>
  <c r="I67" i="3"/>
  <c r="B68" i="3"/>
  <c r="B67" i="3"/>
  <c r="K72" i="3"/>
  <c r="H67" i="3"/>
  <c r="J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H31" i="3"/>
  <c r="G31" i="3"/>
  <c r="F31" i="3"/>
  <c r="E31" i="3"/>
  <c r="D31" i="3"/>
  <c r="C31" i="3"/>
  <c r="B31" i="3"/>
  <c r="B32" i="3" s="1"/>
  <c r="I27" i="3"/>
  <c r="H27" i="3"/>
  <c r="G27" i="3"/>
  <c r="F27" i="3"/>
  <c r="E27" i="3"/>
  <c r="D27" i="3"/>
  <c r="C27" i="3"/>
  <c r="B28" i="3"/>
  <c r="B23" i="3"/>
  <c r="B24" i="3" s="1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B30" i="3" l="1"/>
  <c r="M59" i="3"/>
  <c r="N60" i="3"/>
  <c r="N59" i="3" s="1"/>
  <c r="L72" i="3"/>
  <c r="K4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L33" i="3"/>
  <c r="K28" i="3"/>
  <c r="L29" i="3"/>
  <c r="L4" i="3" l="1"/>
  <c r="K53" i="3"/>
  <c r="M72" i="3"/>
  <c r="M41" i="3"/>
  <c r="B37" i="3"/>
  <c r="C36" i="3"/>
  <c r="G36" i="3"/>
  <c r="H36" i="3"/>
  <c r="D36" i="3"/>
  <c r="F36" i="3"/>
  <c r="E36" i="3"/>
  <c r="L32" i="3"/>
  <c r="M33" i="3"/>
  <c r="L28" i="3"/>
  <c r="M29" i="3"/>
  <c r="H21" i="3"/>
  <c r="G21" i="3"/>
  <c r="F21" i="3"/>
  <c r="E21" i="3"/>
  <c r="D21" i="3"/>
  <c r="C21" i="3"/>
  <c r="I21" i="3"/>
  <c r="D75" i="3" l="1"/>
  <c r="D78" i="3"/>
  <c r="D81" i="3"/>
  <c r="D71" i="3"/>
  <c r="D68" i="3"/>
  <c r="F37" i="3"/>
  <c r="F71" i="3"/>
  <c r="F81" i="3"/>
  <c r="F75" i="3"/>
  <c r="F78" i="3"/>
  <c r="F68" i="3"/>
  <c r="G71" i="3"/>
  <c r="G78" i="3"/>
  <c r="G75" i="3"/>
  <c r="G81" i="3"/>
  <c r="G68" i="3"/>
  <c r="I50" i="3"/>
  <c r="J50" i="3" s="1"/>
  <c r="J49" i="3" s="1"/>
  <c r="I71" i="3"/>
  <c r="I81" i="3"/>
  <c r="J81" i="3" s="1"/>
  <c r="I75" i="3"/>
  <c r="I78" i="3"/>
  <c r="J78" i="3" s="1"/>
  <c r="I68" i="3"/>
  <c r="J68" i="3" s="1"/>
  <c r="E71" i="3"/>
  <c r="E78" i="3"/>
  <c r="E81" i="3"/>
  <c r="E75" i="3"/>
  <c r="E68" i="3"/>
  <c r="C78" i="3"/>
  <c r="C71" i="3"/>
  <c r="C75" i="3"/>
  <c r="C81" i="3"/>
  <c r="C68" i="3"/>
  <c r="H71" i="3"/>
  <c r="H81" i="3"/>
  <c r="H78" i="3"/>
  <c r="H75" i="3"/>
  <c r="H68" i="3"/>
  <c r="E37" i="3"/>
  <c r="N72" i="3"/>
  <c r="L53" i="3"/>
  <c r="M4" i="3"/>
  <c r="C50" i="3"/>
  <c r="C44" i="3"/>
  <c r="C47" i="3"/>
  <c r="C22" i="3"/>
  <c r="C40" i="3"/>
  <c r="D22" i="3"/>
  <c r="D50" i="3"/>
  <c r="D40" i="3"/>
  <c r="D47" i="3"/>
  <c r="D44" i="3"/>
  <c r="E50" i="3"/>
  <c r="E22" i="3"/>
  <c r="E40" i="3"/>
  <c r="E44" i="3"/>
  <c r="E47" i="3"/>
  <c r="G44" i="3"/>
  <c r="G40" i="3"/>
  <c r="G47" i="3"/>
  <c r="G50" i="3"/>
  <c r="G22" i="3"/>
  <c r="D37" i="3"/>
  <c r="N41" i="3"/>
  <c r="F50" i="3"/>
  <c r="F40" i="3"/>
  <c r="F22" i="3"/>
  <c r="F44" i="3"/>
  <c r="F47" i="3"/>
  <c r="H50" i="3"/>
  <c r="H44" i="3"/>
  <c r="H47" i="3"/>
  <c r="H40" i="3"/>
  <c r="H22" i="3"/>
  <c r="G37" i="3"/>
  <c r="C37" i="3"/>
  <c r="H37" i="3"/>
  <c r="B22" i="3"/>
  <c r="B40" i="3"/>
  <c r="B50" i="3"/>
  <c r="B44" i="3"/>
  <c r="B47" i="3"/>
  <c r="I22" i="3"/>
  <c r="I44" i="3"/>
  <c r="J22" i="3"/>
  <c r="I40" i="3"/>
  <c r="I47" i="3"/>
  <c r="J47" i="3" s="1"/>
  <c r="I37" i="3"/>
  <c r="J37" i="3" s="1"/>
  <c r="K22" i="3"/>
  <c r="M32" i="3"/>
  <c r="N33" i="3"/>
  <c r="N32" i="3" s="1"/>
  <c r="M28" i="3"/>
  <c r="N29" i="3"/>
  <c r="N28" i="3" s="1"/>
  <c r="N4" i="3" l="1"/>
  <c r="N7" i="3"/>
  <c r="J80" i="3"/>
  <c r="K81" i="3"/>
  <c r="K50" i="3"/>
  <c r="K68" i="3"/>
  <c r="K78" i="3"/>
  <c r="J76" i="3"/>
  <c r="M53" i="3"/>
  <c r="N53" i="3"/>
  <c r="K47" i="3"/>
  <c r="J46" i="3"/>
  <c r="L50" i="3"/>
  <c r="K49" i="3"/>
  <c r="K37" i="3"/>
  <c r="J36" i="3"/>
  <c r="L22" i="3"/>
  <c r="J77" i="3" l="1"/>
  <c r="L78" i="3"/>
  <c r="K76" i="3"/>
  <c r="J67" i="3"/>
  <c r="L68" i="3"/>
  <c r="J70" i="3"/>
  <c r="J71" i="3"/>
  <c r="L81" i="3"/>
  <c r="K80" i="3"/>
  <c r="L49" i="3"/>
  <c r="M50" i="3"/>
  <c r="L47" i="3"/>
  <c r="K46" i="3"/>
  <c r="L37" i="3"/>
  <c r="K36" i="3"/>
  <c r="M22" i="3"/>
  <c r="N22" i="3"/>
  <c r="K77" i="3" l="1"/>
  <c r="J19" i="3"/>
  <c r="J18" i="3"/>
  <c r="J15" i="3"/>
  <c r="J16" i="3"/>
  <c r="J13" i="3"/>
  <c r="J12" i="3"/>
  <c r="J7" i="3"/>
  <c r="J6" i="3"/>
  <c r="K71" i="3"/>
  <c r="K70" i="3"/>
  <c r="L80" i="3"/>
  <c r="M81" i="3"/>
  <c r="K43" i="3"/>
  <c r="K67" i="3"/>
  <c r="M68" i="3"/>
  <c r="J75" i="3"/>
  <c r="J74" i="3"/>
  <c r="M78" i="3"/>
  <c r="L76" i="3"/>
  <c r="M49" i="3"/>
  <c r="N50" i="3"/>
  <c r="J43" i="3"/>
  <c r="J44" i="3"/>
  <c r="M47" i="3"/>
  <c r="L46" i="3"/>
  <c r="M37" i="3"/>
  <c r="K44" i="3" l="1"/>
  <c r="L77" i="3"/>
  <c r="K19" i="3"/>
  <c r="K18" i="3"/>
  <c r="K15" i="3"/>
  <c r="K16" i="3"/>
  <c r="K12" i="3"/>
  <c r="K13" i="3"/>
  <c r="K7" i="3"/>
  <c r="K6" i="3"/>
  <c r="N78" i="3"/>
  <c r="N76" i="3" s="1"/>
  <c r="M76" i="3"/>
  <c r="L70" i="3"/>
  <c r="L71" i="3"/>
  <c r="M80" i="3"/>
  <c r="N81" i="3"/>
  <c r="L67" i="3"/>
  <c r="N68" i="3"/>
  <c r="K74" i="3"/>
  <c r="K75" i="3"/>
  <c r="L36" i="3"/>
  <c r="N47" i="3"/>
  <c r="M46" i="3"/>
  <c r="N49" i="3"/>
  <c r="N37" i="3"/>
  <c r="H1" i="1"/>
  <c r="G1" i="1" s="1"/>
  <c r="F1" i="1" s="1"/>
  <c r="E1" i="1" s="1"/>
  <c r="D1" i="1" s="1"/>
  <c r="C1" i="1" s="1"/>
  <c r="B1" i="1" s="1"/>
  <c r="N16" i="3" l="1"/>
  <c r="M77" i="3"/>
  <c r="L16" i="3"/>
  <c r="L15" i="3"/>
  <c r="L19" i="3"/>
  <c r="L18" i="3"/>
  <c r="L12" i="3"/>
  <c r="L13" i="3"/>
  <c r="L7" i="3"/>
  <c r="L6" i="3"/>
  <c r="M7" i="3"/>
  <c r="M6" i="3"/>
  <c r="N6" i="3"/>
  <c r="M67" i="3"/>
  <c r="N67" i="3"/>
  <c r="L74" i="3"/>
  <c r="L75" i="3"/>
  <c r="N80" i="3"/>
  <c r="N77" i="3"/>
  <c r="M36" i="3"/>
  <c r="N46" i="3"/>
  <c r="L44" i="3"/>
  <c r="L43" i="3"/>
  <c r="N36" i="3"/>
  <c r="M75" i="3" l="1"/>
  <c r="M70" i="3"/>
  <c r="M71" i="3"/>
  <c r="M16" i="3"/>
  <c r="M15" i="3"/>
  <c r="N70" i="3"/>
  <c r="M18" i="3"/>
  <c r="M19" i="3"/>
  <c r="N15" i="3"/>
  <c r="M12" i="3"/>
  <c r="M13" i="3"/>
  <c r="N71" i="3"/>
  <c r="M74" i="3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N19" i="3" l="1"/>
  <c r="N18" i="3"/>
  <c r="N12" i="3"/>
  <c r="N13" i="3"/>
  <c r="N75" i="3"/>
  <c r="N74" i="3"/>
  <c r="N10" i="3"/>
  <c r="N9" i="3"/>
  <c r="M10" i="3"/>
  <c r="M9" i="3"/>
  <c r="K10" i="3"/>
  <c r="K9" i="3"/>
  <c r="L10" i="3"/>
  <c r="L9" i="3"/>
  <c r="J9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2E902B82-F975-4E3E-8AC9-8BC847CB1F6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<sst xmlns="http://schemas.openxmlformats.org/spreadsheetml/2006/main" count="307" uniqueCount="154">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</sst>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0"/>
      <color theme="1"/>
      <name val="Arial Unicode MS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2" fontId="0" fillId="0" borderId="0" xfId="0" applyNumberFormat="1"/>
    <xf numFmtId="2" fontId="15" fillId="0" borderId="0" xfId="0" applyNumberFormat="1" applyFont="1"/>
    <xf numFmtId="165" fontId="0" fillId="0" borderId="0" xfId="3" applyNumberFormat="1" applyFont="1"/>
    <xf numFmtId="165" fontId="0" fillId="0" borderId="3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2" fillId="0" borderId="1" xfId="3" applyNumberFormat="1" applyFont="1" applyBorder="1"/>
    <xf numFmtId="165" fontId="2" fillId="0" borderId="2" xfId="3" applyNumberFormat="1" applyFont="1" applyBorder="1"/>
    <xf numFmtId="4" fontId="0" fillId="0" borderId="0" xfId="0" applyNumberFormat="1"/>
    <xf numFmtId="165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07920"/>
          <a:ext cx="6767830" cy="18872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46020"/>
          <a:ext cx="4038600" cy="355219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71650"/>
          <a:ext cx="1760220" cy="11125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45130"/>
          <a:ext cx="1798320" cy="11125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103370"/>
          <a:ext cx="1943100" cy="11125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215890"/>
          <a:ext cx="2727960" cy="133477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5150" y="5370830"/>
          <a:ext cx="11506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36" sqref="A36"/>
    </sheetView>
  </sheetViews>
  <sheetFormatPr defaultRowHeight="14.5"/>
  <cols>
    <col min="1" max="1" width="176.08984375" style="19" customWidth="1"/>
  </cols>
  <sheetData>
    <row r="1" spans="1:1" ht="23.5">
      <c r="A1" s="18" t="s">
        <v>20</v>
      </c>
    </row>
    <row r="2" spans="1:1">
      <c r="A2" s="36" t="s">
        <v>150</v>
      </c>
    </row>
    <row r="3" spans="1:1">
      <c r="A3" s="20" t="s">
        <v>140</v>
      </c>
    </row>
    <row r="4" spans="1:1">
      <c r="A4" s="20" t="s">
        <v>151</v>
      </c>
    </row>
    <row r="5" spans="1:1">
      <c r="A5" s="36" t="s">
        <v>152</v>
      </c>
    </row>
    <row r="6" spans="1:1">
      <c r="A6" s="19" t="s">
        <v>141</v>
      </c>
    </row>
    <row r="7" spans="1:1">
      <c r="A7" s="36"/>
    </row>
    <row r="8" spans="1:1">
      <c r="A8" s="36"/>
    </row>
    <row r="11" spans="1:1">
      <c r="A11" s="20"/>
    </row>
    <row r="12" spans="1:1">
      <c r="A12" s="20"/>
    </row>
    <row r="13" spans="1:1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41" activePane="bottomLeft" state="frozen"/>
      <selection pane="bottomLeft" activeCell="B128" sqref="B128"/>
    </sheetView>
  </sheetViews>
  <sheetFormatPr defaultRowHeight="14.5"/>
  <cols>
    <col min="1" max="1" width="78.08984375" customWidth="1"/>
    <col min="2" max="7" width="9" bestFit="1" customWidth="1"/>
    <col min="8" max="8" width="10.453125" bestFit="1" customWidth="1"/>
    <col min="9" max="9" width="10.6328125" bestFit="1" customWidth="1"/>
  </cols>
  <sheetData>
    <row r="1" spans="1:9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>
      <c r="A2" t="s">
        <v>27</v>
      </c>
      <c r="B2" s="8">
        <v>30601</v>
      </c>
      <c r="C2" s="8">
        <v>32376</v>
      </c>
      <c r="D2" s="8">
        <v>34350</v>
      </c>
      <c r="E2" s="8">
        <v>36397</v>
      </c>
      <c r="F2" s="8">
        <v>39117</v>
      </c>
      <c r="G2" s="8">
        <v>37403</v>
      </c>
      <c r="H2" s="50">
        <v>44538</v>
      </c>
      <c r="I2" s="50">
        <v>46710</v>
      </c>
    </row>
    <row r="3" spans="1:9">
      <c r="A3" s="22" t="s">
        <v>28</v>
      </c>
      <c r="B3" s="8">
        <v>16534</v>
      </c>
      <c r="C3" s="8">
        <v>17405</v>
      </c>
      <c r="D3" s="8">
        <v>19038</v>
      </c>
      <c r="E3" s="8">
        <v>20441</v>
      </c>
      <c r="F3" s="8">
        <v>21643</v>
      </c>
      <c r="G3" s="8">
        <v>21162</v>
      </c>
      <c r="H3" s="51">
        <v>24576</v>
      </c>
      <c r="I3" s="51">
        <v>25231</v>
      </c>
    </row>
    <row r="4" spans="1:9" s="1" customFormat="1">
      <c r="A4" s="1" t="s">
        <v>4</v>
      </c>
      <c r="B4" s="52">
        <v>14067</v>
      </c>
      <c r="C4" s="52">
        <v>14971</v>
      </c>
      <c r="D4" s="52">
        <v>15312</v>
      </c>
      <c r="E4" s="52">
        <v>15956</v>
      </c>
      <c r="F4" s="52">
        <v>17474</v>
      </c>
      <c r="G4" s="52">
        <v>16241</v>
      </c>
      <c r="H4" s="52">
        <v>19962</v>
      </c>
      <c r="I4" s="52">
        <v>21479</v>
      </c>
    </row>
    <row r="5" spans="1:9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50">
        <v>3114</v>
      </c>
      <c r="I5" s="50">
        <v>3850</v>
      </c>
    </row>
    <row r="6" spans="1:9">
      <c r="A6" s="11" t="s">
        <v>22</v>
      </c>
      <c r="B6" s="8">
        <v>6679</v>
      </c>
      <c r="C6" s="8">
        <v>7191</v>
      </c>
      <c r="D6" s="8">
        <v>7222</v>
      </c>
      <c r="E6" s="8">
        <v>7934</v>
      </c>
      <c r="F6" s="8">
        <v>8949</v>
      </c>
      <c r="G6" s="8">
        <v>9534</v>
      </c>
      <c r="H6" s="50">
        <v>9911</v>
      </c>
      <c r="I6" s="50">
        <v>10954</v>
      </c>
    </row>
    <row r="7" spans="1:9">
      <c r="A7" s="21" t="s">
        <v>23</v>
      </c>
      <c r="B7" s="53">
        <v>9892</v>
      </c>
      <c r="C7" s="53">
        <v>10469</v>
      </c>
      <c r="D7" s="53">
        <v>10563</v>
      </c>
      <c r="E7" s="53">
        <v>11511</v>
      </c>
      <c r="F7" s="53">
        <v>12702</v>
      </c>
      <c r="G7" s="53">
        <v>13126</v>
      </c>
      <c r="H7" s="53">
        <v>13025</v>
      </c>
      <c r="I7" s="53">
        <v>14804</v>
      </c>
    </row>
    <row r="8" spans="1:9">
      <c r="A8" s="2" t="s">
        <v>24</v>
      </c>
      <c r="B8">
        <v>28</v>
      </c>
      <c r="C8">
        <v>19</v>
      </c>
      <c r="D8">
        <v>59</v>
      </c>
      <c r="E8">
        <v>54</v>
      </c>
      <c r="F8">
        <v>49</v>
      </c>
      <c r="G8">
        <v>89</v>
      </c>
      <c r="H8" s="50">
        <v>262</v>
      </c>
      <c r="I8" s="50">
        <v>205</v>
      </c>
    </row>
    <row r="9" spans="1:9">
      <c r="A9" s="2" t="s">
        <v>5</v>
      </c>
      <c r="B9">
        <v>-58</v>
      </c>
      <c r="C9">
        <v>-140</v>
      </c>
      <c r="D9">
        <v>-196</v>
      </c>
      <c r="E9">
        <v>66</v>
      </c>
      <c r="F9">
        <v>-78</v>
      </c>
      <c r="G9">
        <v>139</v>
      </c>
      <c r="H9" s="50">
        <v>14</v>
      </c>
      <c r="I9" s="50">
        <v>-181</v>
      </c>
    </row>
    <row r="10" spans="1:9">
      <c r="A10" s="4" t="s">
        <v>25</v>
      </c>
      <c r="B10" s="54">
        <v>4205</v>
      </c>
      <c r="C10" s="54">
        <v>4623</v>
      </c>
      <c r="D10" s="54">
        <v>4886</v>
      </c>
      <c r="E10" s="54">
        <v>4325</v>
      </c>
      <c r="F10" s="54">
        <v>4801</v>
      </c>
      <c r="G10" s="54">
        <v>2887</v>
      </c>
      <c r="H10" s="54">
        <v>6661</v>
      </c>
      <c r="I10" s="54">
        <v>6651</v>
      </c>
    </row>
    <row r="11" spans="1:9">
      <c r="A11" s="2" t="s">
        <v>26</v>
      </c>
      <c r="B11">
        <v>932</v>
      </c>
      <c r="C11">
        <v>863</v>
      </c>
      <c r="D11">
        <v>646</v>
      </c>
      <c r="E11" s="8">
        <v>2392</v>
      </c>
      <c r="F11">
        <v>772</v>
      </c>
      <c r="G11">
        <v>348</v>
      </c>
      <c r="H11" s="50">
        <v>934</v>
      </c>
      <c r="I11" s="50">
        <v>605</v>
      </c>
    </row>
    <row r="12" spans="1:9" ht="15" thickBot="1">
      <c r="A12" s="6" t="s">
        <v>29</v>
      </c>
      <c r="B12" s="55">
        <v>3273</v>
      </c>
      <c r="C12" s="55">
        <v>3760</v>
      </c>
      <c r="D12" s="55">
        <v>4240</v>
      </c>
      <c r="E12" s="55">
        <v>1933</v>
      </c>
      <c r="F12" s="55">
        <v>4029</v>
      </c>
      <c r="G12" s="55">
        <v>2539</v>
      </c>
      <c r="H12" s="55">
        <v>5727</v>
      </c>
      <c r="I12" s="55">
        <v>6046</v>
      </c>
    </row>
    <row r="13" spans="1:9" ht="15" thickTop="1">
      <c r="A13" s="1" t="s">
        <v>8</v>
      </c>
    </row>
    <row r="14" spans="1:9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>
      <c r="A16" s="1" t="s">
        <v>9</v>
      </c>
    </row>
    <row r="17" spans="1:9">
      <c r="A17" s="2" t="s">
        <v>6</v>
      </c>
      <c r="C17" s="56">
        <v>1697.9</v>
      </c>
      <c r="D17" s="56">
        <v>1657.8</v>
      </c>
      <c r="E17" s="56">
        <v>1623.8</v>
      </c>
      <c r="F17" s="56">
        <v>1579.7</v>
      </c>
      <c r="G17" s="56">
        <v>1558.8</v>
      </c>
      <c r="H17" s="8">
        <v>1573</v>
      </c>
      <c r="I17" s="8">
        <v>1578.8</v>
      </c>
    </row>
    <row r="18" spans="1:9">
      <c r="A18" s="2" t="s">
        <v>7</v>
      </c>
      <c r="C18" s="56">
        <v>1742.5</v>
      </c>
      <c r="D18" s="56">
        <v>1692</v>
      </c>
      <c r="E18" s="56">
        <v>1659.1</v>
      </c>
      <c r="F18" s="56">
        <v>1618.4</v>
      </c>
      <c r="G18" s="56">
        <v>1591.6</v>
      </c>
      <c r="H18" s="8">
        <v>1609.4</v>
      </c>
      <c r="I18" s="8">
        <v>1610.8</v>
      </c>
    </row>
    <row r="20" spans="1:9" s="12" customFormat="1">
      <c r="A20" s="12" t="s">
        <v>2</v>
      </c>
      <c r="B20" s="13"/>
      <c r="C20" s="13">
        <f t="shared" ref="C20:H20" si="1">+ROUND(((C12/C18)-C15),2)</f>
        <v>0</v>
      </c>
      <c r="D20" s="13">
        <f t="shared" si="1"/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8">
        <v>3852</v>
      </c>
      <c r="C25" s="8">
        <v>3138</v>
      </c>
      <c r="D25" s="8">
        <v>3808</v>
      </c>
      <c r="E25" s="8">
        <v>4249</v>
      </c>
      <c r="F25" s="8">
        <v>4466</v>
      </c>
      <c r="G25" s="8">
        <v>8348</v>
      </c>
      <c r="H25" s="50">
        <v>9889</v>
      </c>
      <c r="I25" s="50">
        <v>8574</v>
      </c>
    </row>
    <row r="26" spans="1:9">
      <c r="A26" s="11" t="s">
        <v>33</v>
      </c>
      <c r="B26" s="8">
        <v>2072</v>
      </c>
      <c r="C26" s="8">
        <v>2319</v>
      </c>
      <c r="D26" s="8">
        <v>2371</v>
      </c>
      <c r="E26">
        <v>996</v>
      </c>
      <c r="F26">
        <v>197</v>
      </c>
      <c r="G26">
        <v>439</v>
      </c>
      <c r="H26" s="50">
        <v>3587</v>
      </c>
      <c r="I26" s="50">
        <v>4423</v>
      </c>
    </row>
    <row r="27" spans="1:9">
      <c r="A27" s="11" t="s">
        <v>34</v>
      </c>
      <c r="B27" s="8">
        <v>3358</v>
      </c>
      <c r="C27" s="8">
        <v>3241</v>
      </c>
      <c r="D27" s="8">
        <v>3677</v>
      </c>
      <c r="E27" s="8">
        <v>3498</v>
      </c>
      <c r="F27" s="8">
        <v>4272</v>
      </c>
      <c r="G27" s="8">
        <v>2749</v>
      </c>
      <c r="H27" s="50">
        <v>4463</v>
      </c>
      <c r="I27" s="50">
        <v>4667</v>
      </c>
    </row>
    <row r="28" spans="1:9">
      <c r="A28" s="11" t="s">
        <v>35</v>
      </c>
      <c r="B28" s="8">
        <v>4337</v>
      </c>
      <c r="C28" s="8">
        <v>4838</v>
      </c>
      <c r="D28" s="8">
        <v>5055</v>
      </c>
      <c r="E28" s="8">
        <v>5261</v>
      </c>
      <c r="F28" s="8">
        <v>5622</v>
      </c>
      <c r="G28" s="8">
        <v>7367</v>
      </c>
      <c r="H28" s="50">
        <v>6854</v>
      </c>
      <c r="I28" s="50">
        <v>8420</v>
      </c>
    </row>
    <row r="29" spans="1:9">
      <c r="A29" s="11" t="s">
        <v>36</v>
      </c>
      <c r="B29" s="8">
        <v>1968</v>
      </c>
      <c r="C29" s="8">
        <v>1489</v>
      </c>
      <c r="D29" s="8">
        <v>1150</v>
      </c>
      <c r="E29" s="8">
        <v>1130</v>
      </c>
      <c r="F29" s="8">
        <v>1968</v>
      </c>
      <c r="G29" s="8">
        <v>1653</v>
      </c>
      <c r="H29" s="50">
        <v>1498</v>
      </c>
      <c r="I29" s="50">
        <v>2129</v>
      </c>
    </row>
    <row r="30" spans="1:9">
      <c r="A30" s="4" t="s">
        <v>10</v>
      </c>
      <c r="B30" s="54">
        <v>15587</v>
      </c>
      <c r="C30" s="54">
        <v>15025</v>
      </c>
      <c r="D30" s="54">
        <v>16061</v>
      </c>
      <c r="E30" s="54">
        <v>15134</v>
      </c>
      <c r="F30" s="54">
        <v>16525</v>
      </c>
      <c r="G30" s="54">
        <v>20556</v>
      </c>
      <c r="H30" s="54">
        <v>26291</v>
      </c>
      <c r="I30" s="54">
        <v>28213</v>
      </c>
    </row>
    <row r="31" spans="1:9">
      <c r="A31" s="2" t="s">
        <v>37</v>
      </c>
      <c r="B31" s="8">
        <v>3011</v>
      </c>
      <c r="C31" s="8">
        <v>3520</v>
      </c>
      <c r="D31" s="8">
        <v>3989</v>
      </c>
      <c r="E31" s="8">
        <v>4454</v>
      </c>
      <c r="F31" s="8">
        <v>4744</v>
      </c>
      <c r="G31" s="8">
        <v>4866</v>
      </c>
      <c r="H31" s="50">
        <v>4904</v>
      </c>
      <c r="I31" s="50">
        <v>4791</v>
      </c>
    </row>
    <row r="32" spans="1:9">
      <c r="A32" s="2" t="s">
        <v>38</v>
      </c>
      <c r="F32" t="s">
        <v>153</v>
      </c>
      <c r="G32" s="8">
        <v>3097</v>
      </c>
      <c r="H32" s="50">
        <v>3113</v>
      </c>
      <c r="I32" s="50">
        <v>2926</v>
      </c>
    </row>
    <row r="33" spans="1:9">
      <c r="A33" s="2" t="s">
        <v>39</v>
      </c>
      <c r="B33">
        <v>281</v>
      </c>
      <c r="C33">
        <v>281</v>
      </c>
      <c r="D33">
        <v>283</v>
      </c>
      <c r="E33">
        <v>285</v>
      </c>
      <c r="F33">
        <v>283</v>
      </c>
      <c r="G33">
        <v>274</v>
      </c>
      <c r="H33" s="50">
        <v>269</v>
      </c>
      <c r="I33" s="50">
        <v>286</v>
      </c>
    </row>
    <row r="34" spans="1:9">
      <c r="A34" s="2" t="s">
        <v>40</v>
      </c>
      <c r="B34">
        <v>131</v>
      </c>
      <c r="C34">
        <v>131</v>
      </c>
      <c r="D34">
        <v>139</v>
      </c>
      <c r="E34">
        <v>154</v>
      </c>
      <c r="F34">
        <v>154</v>
      </c>
      <c r="G34">
        <v>223</v>
      </c>
      <c r="H34" s="50">
        <v>242</v>
      </c>
      <c r="I34" s="50">
        <v>284</v>
      </c>
    </row>
    <row r="35" spans="1:9">
      <c r="A35" s="2" t="s">
        <v>41</v>
      </c>
      <c r="B35" s="8">
        <v>2587</v>
      </c>
      <c r="C35" s="8">
        <v>2439</v>
      </c>
      <c r="D35" s="8">
        <v>2787</v>
      </c>
      <c r="E35" s="8">
        <v>2509</v>
      </c>
      <c r="F35" s="8">
        <v>2011</v>
      </c>
      <c r="G35" s="8">
        <v>2326</v>
      </c>
      <c r="H35" s="50">
        <v>2921</v>
      </c>
      <c r="I35" s="50">
        <v>3821</v>
      </c>
    </row>
    <row r="36" spans="1:9" ht="15" thickBot="1">
      <c r="A36" s="6" t="s">
        <v>42</v>
      </c>
      <c r="B36" s="55">
        <v>21597</v>
      </c>
      <c r="C36" s="55">
        <v>21396</v>
      </c>
      <c r="D36" s="55">
        <v>23259</v>
      </c>
      <c r="E36" s="55">
        <v>22536</v>
      </c>
      <c r="F36" s="55">
        <v>23717</v>
      </c>
      <c r="G36" s="55">
        <v>31342</v>
      </c>
      <c r="H36" s="55">
        <v>37740</v>
      </c>
      <c r="I36" s="55">
        <v>40321</v>
      </c>
    </row>
    <row r="37" spans="1:9" ht="15" thickTop="1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>
      <c r="A39" s="11" t="s">
        <v>45</v>
      </c>
      <c r="B39">
        <v>107</v>
      </c>
      <c r="C39">
        <v>44</v>
      </c>
      <c r="D39">
        <v>6</v>
      </c>
      <c r="E39">
        <v>6</v>
      </c>
      <c r="F39">
        <v>6</v>
      </c>
      <c r="G39">
        <v>3</v>
      </c>
      <c r="H39" s="50">
        <v>0</v>
      </c>
      <c r="I39" s="50">
        <v>500</v>
      </c>
    </row>
    <row r="40" spans="1:9">
      <c r="A40" s="11" t="s">
        <v>46</v>
      </c>
      <c r="B40">
        <v>74</v>
      </c>
      <c r="C40">
        <v>1</v>
      </c>
      <c r="D40">
        <v>325</v>
      </c>
      <c r="E40">
        <v>336</v>
      </c>
      <c r="F40">
        <v>9</v>
      </c>
      <c r="G40">
        <v>248</v>
      </c>
      <c r="H40" s="50">
        <v>2</v>
      </c>
      <c r="I40" s="50">
        <v>10</v>
      </c>
    </row>
    <row r="41" spans="1:9">
      <c r="A41" s="11" t="s">
        <v>11</v>
      </c>
      <c r="B41" s="8">
        <v>2131</v>
      </c>
      <c r="C41" s="8">
        <v>2191</v>
      </c>
      <c r="D41" s="8">
        <v>2048</v>
      </c>
      <c r="E41" s="8">
        <v>2279</v>
      </c>
      <c r="F41" s="8">
        <v>2612</v>
      </c>
      <c r="G41" s="8">
        <v>2248</v>
      </c>
      <c r="H41" s="50">
        <v>2836</v>
      </c>
      <c r="I41" s="50">
        <v>3358</v>
      </c>
    </row>
    <row r="42" spans="1:9">
      <c r="A42" s="11" t="s">
        <v>47</v>
      </c>
      <c r="B42" s="50"/>
      <c r="C42" s="50"/>
      <c r="D42" s="50"/>
      <c r="E42" s="50"/>
      <c r="F42" t="s">
        <v>153</v>
      </c>
      <c r="G42">
        <v>445</v>
      </c>
      <c r="H42" s="50">
        <v>467</v>
      </c>
      <c r="I42" s="50">
        <v>420</v>
      </c>
    </row>
    <row r="43" spans="1:9">
      <c r="A43" s="11" t="s">
        <v>12</v>
      </c>
      <c r="B43" s="8">
        <v>3949</v>
      </c>
      <c r="C43" s="8">
        <v>3037</v>
      </c>
      <c r="D43" s="8">
        <v>3011</v>
      </c>
      <c r="E43" s="8">
        <v>3269</v>
      </c>
      <c r="F43" s="8">
        <v>5010</v>
      </c>
      <c r="G43" s="8">
        <v>5184</v>
      </c>
      <c r="H43" s="50">
        <v>6063</v>
      </c>
      <c r="I43" s="50">
        <v>6220</v>
      </c>
    </row>
    <row r="44" spans="1:9">
      <c r="A44" s="11" t="s">
        <v>48</v>
      </c>
      <c r="B44">
        <v>71</v>
      </c>
      <c r="C44">
        <v>85</v>
      </c>
      <c r="D44">
        <v>84</v>
      </c>
      <c r="E44">
        <v>150</v>
      </c>
      <c r="F44">
        <v>229</v>
      </c>
      <c r="G44">
        <v>156</v>
      </c>
      <c r="H44" s="50">
        <v>306</v>
      </c>
      <c r="I44" s="50">
        <v>222</v>
      </c>
    </row>
    <row r="45" spans="1:9">
      <c r="A45" s="4" t="s">
        <v>13</v>
      </c>
      <c r="B45" s="54">
        <v>6332</v>
      </c>
      <c r="C45" s="54">
        <v>5358</v>
      </c>
      <c r="D45" s="54">
        <v>5474</v>
      </c>
      <c r="E45" s="54">
        <v>6040</v>
      </c>
      <c r="F45" s="54">
        <v>7866</v>
      </c>
      <c r="G45" s="54">
        <v>8284</v>
      </c>
      <c r="H45" s="54">
        <v>9674</v>
      </c>
      <c r="I45" s="54">
        <v>10730</v>
      </c>
    </row>
    <row r="46" spans="1:9">
      <c r="A46" s="2" t="s">
        <v>49</v>
      </c>
      <c r="B46" s="8">
        <v>1079</v>
      </c>
      <c r="C46" s="8">
        <v>2010</v>
      </c>
      <c r="D46" t="s">
        <v>153</v>
      </c>
      <c r="E46" t="s">
        <v>153</v>
      </c>
      <c r="F46" s="8">
        <v>3464</v>
      </c>
      <c r="G46" s="8">
        <v>9406</v>
      </c>
      <c r="H46" s="50">
        <v>9413</v>
      </c>
      <c r="I46" s="50">
        <v>8920</v>
      </c>
    </row>
    <row r="47" spans="1:9">
      <c r="A47" s="2" t="s">
        <v>50</v>
      </c>
      <c r="B47" t="s">
        <v>153</v>
      </c>
      <c r="C47" t="s">
        <v>153</v>
      </c>
      <c r="D47" s="8">
        <v>3471</v>
      </c>
      <c r="E47" s="8">
        <v>3468</v>
      </c>
      <c r="F47" t="s">
        <v>153</v>
      </c>
      <c r="G47" s="8">
        <v>2913</v>
      </c>
      <c r="H47" s="50">
        <v>2931</v>
      </c>
      <c r="I47" s="50">
        <v>2777</v>
      </c>
    </row>
    <row r="48" spans="1:9">
      <c r="A48" s="2" t="s">
        <v>51</v>
      </c>
      <c r="B48" s="8">
        <v>1479</v>
      </c>
      <c r="C48" s="8">
        <v>1770</v>
      </c>
      <c r="D48" s="8">
        <v>1907</v>
      </c>
      <c r="E48" s="8">
        <v>3216</v>
      </c>
      <c r="F48" s="8">
        <v>3347</v>
      </c>
      <c r="G48" s="8">
        <v>2684</v>
      </c>
      <c r="H48" s="50">
        <v>2955</v>
      </c>
      <c r="I48" s="50">
        <v>2613</v>
      </c>
    </row>
    <row r="49" spans="1:9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>
      <c r="A54" s="17" t="s">
        <v>57</v>
      </c>
      <c r="B54">
        <v>3</v>
      </c>
      <c r="C54">
        <v>3</v>
      </c>
      <c r="D54">
        <v>3</v>
      </c>
      <c r="E54">
        <v>3</v>
      </c>
      <c r="F54">
        <v>3</v>
      </c>
      <c r="G54">
        <v>3</v>
      </c>
      <c r="H54" s="50">
        <v>3</v>
      </c>
      <c r="I54" s="50">
        <v>3</v>
      </c>
    </row>
    <row r="55" spans="1:9">
      <c r="A55" s="17" t="s">
        <v>58</v>
      </c>
      <c r="B55" s="8">
        <v>6773</v>
      </c>
      <c r="C55" s="8">
        <v>7786</v>
      </c>
      <c r="D55" s="8">
        <v>5710</v>
      </c>
      <c r="E55" s="8">
        <v>6384</v>
      </c>
      <c r="F55" s="8">
        <v>7163</v>
      </c>
      <c r="G55" s="8">
        <v>8299</v>
      </c>
      <c r="H55" s="50">
        <v>9965</v>
      </c>
      <c r="I55" s="50">
        <v>11484</v>
      </c>
    </row>
    <row r="56" spans="1:9">
      <c r="A56" s="17" t="s">
        <v>59</v>
      </c>
      <c r="B56" s="8">
        <v>1246</v>
      </c>
      <c r="C56">
        <v>318</v>
      </c>
      <c r="D56">
        <v>-213</v>
      </c>
      <c r="E56">
        <v>-92</v>
      </c>
      <c r="F56">
        <v>231</v>
      </c>
      <c r="G56">
        <v>-56</v>
      </c>
      <c r="H56" s="50">
        <v>-380</v>
      </c>
      <c r="I56" s="50">
        <v>318</v>
      </c>
    </row>
    <row r="57" spans="1:9">
      <c r="A57" s="17" t="s">
        <v>60</v>
      </c>
      <c r="B57" s="8">
        <v>4685</v>
      </c>
      <c r="C57" s="8">
        <v>4151</v>
      </c>
      <c r="D57" s="8">
        <v>6907</v>
      </c>
      <c r="E57" s="8">
        <v>3517</v>
      </c>
      <c r="F57" s="8">
        <v>1643</v>
      </c>
      <c r="G57">
        <v>-191</v>
      </c>
      <c r="H57" s="50">
        <v>3179</v>
      </c>
      <c r="I57" s="50">
        <v>3476</v>
      </c>
    </row>
    <row r="58" spans="1:9">
      <c r="A58" s="4" t="s">
        <v>61</v>
      </c>
      <c r="B58" s="5">
        <f t="shared" ref="B58:H58" si="2">+SUM(B53:B57)</f>
        <v>12707</v>
      </c>
      <c r="C58" s="5">
        <f t="shared" si="2"/>
        <v>12258</v>
      </c>
      <c r="D58" s="5">
        <f t="shared" si="2"/>
        <v>12407</v>
      </c>
      <c r="E58" s="5">
        <f t="shared" si="2"/>
        <v>9812</v>
      </c>
      <c r="F58" s="5">
        <f t="shared" si="2"/>
        <v>9040</v>
      </c>
      <c r="G58" s="5">
        <f t="shared" si="2"/>
        <v>8055</v>
      </c>
      <c r="H58" s="5">
        <f t="shared" si="2"/>
        <v>12767</v>
      </c>
      <c r="I58" s="5">
        <f>+SUM(I53:I57)</f>
        <v>15281</v>
      </c>
    </row>
    <row r="59" spans="1:9" ht="15" thickBot="1">
      <c r="A59" s="6" t="s">
        <v>62</v>
      </c>
      <c r="B59" s="7">
        <f t="shared" ref="B59:H59" si="3">+SUM(B45:B50)+B58</f>
        <v>21597</v>
      </c>
      <c r="C59" s="7">
        <f t="shared" si="3"/>
        <v>21396</v>
      </c>
      <c r="D59" s="7">
        <f t="shared" si="3"/>
        <v>23259</v>
      </c>
      <c r="E59" s="7">
        <f t="shared" si="3"/>
        <v>22536</v>
      </c>
      <c r="F59" s="7">
        <f t="shared" si="3"/>
        <v>23717</v>
      </c>
      <c r="G59" s="7">
        <f t="shared" si="3"/>
        <v>31342</v>
      </c>
      <c r="H59" s="7">
        <f t="shared" si="3"/>
        <v>37740</v>
      </c>
      <c r="I59" s="7">
        <f>+SUM(I45:I50)+I58</f>
        <v>40321</v>
      </c>
    </row>
    <row r="60" spans="1:9" s="12" customFormat="1" ht="15" thickTop="1">
      <c r="A60" s="12" t="s">
        <v>3</v>
      </c>
      <c r="B60" s="13">
        <f t="shared" ref="B60:H60" si="4">+B59-B36</f>
        <v>0</v>
      </c>
      <c r="C60" s="13">
        <f t="shared" si="4"/>
        <v>0</v>
      </c>
      <c r="D60" s="13">
        <f t="shared" si="4"/>
        <v>0</v>
      </c>
      <c r="E60" s="13">
        <f t="shared" si="4"/>
        <v>0</v>
      </c>
      <c r="F60" s="13">
        <f t="shared" si="4"/>
        <v>0</v>
      </c>
      <c r="G60" s="13">
        <f t="shared" si="4"/>
        <v>0</v>
      </c>
      <c r="H60" s="13">
        <f t="shared" si="4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52"/>
      <c r="C64" s="8">
        <v>3760</v>
      </c>
      <c r="D64" s="8">
        <v>4240</v>
      </c>
      <c r="E64" s="8">
        <v>1933</v>
      </c>
      <c r="F64" s="8">
        <v>4029</v>
      </c>
      <c r="G64" s="8">
        <v>2539</v>
      </c>
      <c r="H64" s="52">
        <v>5727</v>
      </c>
      <c r="I64" s="52">
        <v>6046</v>
      </c>
    </row>
    <row r="65" spans="1:9" s="1" customFormat="1">
      <c r="A65" s="2" t="s">
        <v>65</v>
      </c>
      <c r="B65" s="50"/>
      <c r="C65" s="50"/>
      <c r="D65" s="50"/>
      <c r="E65" s="50"/>
      <c r="F65" s="50"/>
      <c r="G65" s="50"/>
      <c r="H65" s="50"/>
      <c r="I65" s="50"/>
    </row>
    <row r="66" spans="1:9">
      <c r="A66" s="11" t="s">
        <v>66</v>
      </c>
      <c r="B66">
        <v>606</v>
      </c>
      <c r="C66">
        <v>649</v>
      </c>
      <c r="D66">
        <v>706</v>
      </c>
      <c r="E66">
        <v>747</v>
      </c>
      <c r="F66">
        <v>705</v>
      </c>
      <c r="G66">
        <v>721</v>
      </c>
      <c r="H66" s="50">
        <v>744</v>
      </c>
      <c r="I66" s="50">
        <v>717</v>
      </c>
    </row>
    <row r="67" spans="1:9">
      <c r="A67" s="11" t="s">
        <v>67</v>
      </c>
      <c r="B67">
        <v>-113</v>
      </c>
      <c r="C67">
        <v>-80</v>
      </c>
      <c r="D67">
        <v>-273</v>
      </c>
      <c r="E67">
        <v>647</v>
      </c>
      <c r="F67">
        <v>34</v>
      </c>
      <c r="G67">
        <v>-380</v>
      </c>
      <c r="H67" s="50">
        <v>-385</v>
      </c>
      <c r="I67" s="50">
        <v>-650</v>
      </c>
    </row>
    <row r="68" spans="1:9">
      <c r="A68" s="11" t="s">
        <v>68</v>
      </c>
      <c r="B68">
        <v>191</v>
      </c>
      <c r="C68">
        <v>236</v>
      </c>
      <c r="D68">
        <v>215</v>
      </c>
      <c r="E68">
        <v>218</v>
      </c>
      <c r="F68">
        <v>325</v>
      </c>
      <c r="G68">
        <v>429</v>
      </c>
      <c r="H68" s="50">
        <v>611</v>
      </c>
      <c r="I68" s="50">
        <v>638</v>
      </c>
    </row>
    <row r="69" spans="1:9">
      <c r="A69" s="11" t="s">
        <v>69</v>
      </c>
      <c r="B69">
        <v>43</v>
      </c>
      <c r="C69">
        <v>13</v>
      </c>
      <c r="D69">
        <v>10</v>
      </c>
      <c r="E69">
        <v>27</v>
      </c>
      <c r="F69">
        <v>15</v>
      </c>
      <c r="G69">
        <v>398</v>
      </c>
      <c r="H69" s="50">
        <v>53</v>
      </c>
      <c r="I69" s="50">
        <v>123</v>
      </c>
    </row>
    <row r="70" spans="1:9">
      <c r="A70" s="11" t="s">
        <v>70</v>
      </c>
      <c r="B70">
        <v>424</v>
      </c>
      <c r="C70">
        <v>98</v>
      </c>
      <c r="D70">
        <v>-117</v>
      </c>
      <c r="E70">
        <v>-99</v>
      </c>
      <c r="F70">
        <v>233</v>
      </c>
      <c r="G70">
        <v>23</v>
      </c>
      <c r="H70" s="50">
        <v>-138</v>
      </c>
      <c r="I70" s="50">
        <v>-26</v>
      </c>
    </row>
    <row r="71" spans="1:9">
      <c r="A71" s="2" t="s">
        <v>71</v>
      </c>
      <c r="B71" s="50"/>
      <c r="C71" s="50"/>
      <c r="D71" s="50"/>
      <c r="E71" s="50"/>
      <c r="F71" s="50"/>
      <c r="G71" s="50"/>
      <c r="H71" s="50"/>
      <c r="I71" s="50"/>
    </row>
    <row r="72" spans="1:9">
      <c r="A72" s="11" t="s">
        <v>72</v>
      </c>
      <c r="B72">
        <v>-216</v>
      </c>
      <c r="C72">
        <v>60</v>
      </c>
      <c r="D72">
        <v>-426</v>
      </c>
      <c r="E72">
        <v>187</v>
      </c>
      <c r="F72">
        <v>-270</v>
      </c>
      <c r="G72" s="8">
        <v>1239</v>
      </c>
      <c r="H72" s="50">
        <v>-1606</v>
      </c>
      <c r="I72" s="50">
        <v>-504</v>
      </c>
    </row>
    <row r="73" spans="1:9">
      <c r="A73" s="11" t="s">
        <v>73</v>
      </c>
      <c r="B73">
        <v>-621</v>
      </c>
      <c r="C73">
        <v>-590</v>
      </c>
      <c r="D73">
        <v>-231</v>
      </c>
      <c r="E73">
        <v>-255</v>
      </c>
      <c r="F73">
        <v>-490</v>
      </c>
      <c r="G73" s="8">
        <v>-1854</v>
      </c>
      <c r="H73" s="50">
        <v>507</v>
      </c>
      <c r="I73" s="50">
        <v>-1676</v>
      </c>
    </row>
    <row r="74" spans="1:9">
      <c r="A74" s="11" t="s">
        <v>98</v>
      </c>
      <c r="B74">
        <v>-144</v>
      </c>
      <c r="C74">
        <v>-161</v>
      </c>
      <c r="D74">
        <v>-120</v>
      </c>
      <c r="E74">
        <v>35</v>
      </c>
      <c r="F74">
        <v>-203</v>
      </c>
      <c r="G74">
        <v>-654</v>
      </c>
      <c r="H74" s="50">
        <v>-182</v>
      </c>
      <c r="I74" s="50">
        <v>-845</v>
      </c>
    </row>
    <row r="75" spans="1:9">
      <c r="A75" s="11" t="s">
        <v>97</v>
      </c>
      <c r="B75" s="8">
        <v>1237</v>
      </c>
      <c r="C75">
        <v>-586</v>
      </c>
      <c r="D75">
        <v>-158</v>
      </c>
      <c r="E75" s="8">
        <v>1515</v>
      </c>
      <c r="F75" s="8">
        <v>1525</v>
      </c>
      <c r="G75">
        <v>24</v>
      </c>
      <c r="H75" s="50">
        <v>1326</v>
      </c>
      <c r="I75" s="50">
        <v>1365</v>
      </c>
    </row>
    <row r="76" spans="1:9">
      <c r="A76" s="23" t="s">
        <v>74</v>
      </c>
      <c r="B76" s="24">
        <f t="shared" ref="B76:H76" si="5">+SUM(B64:B75)</f>
        <v>1407</v>
      </c>
      <c r="C76" s="24">
        <f t="shared" si="5"/>
        <v>3399</v>
      </c>
      <c r="D76" s="24">
        <f t="shared" si="5"/>
        <v>3846</v>
      </c>
      <c r="E76" s="24">
        <f t="shared" si="5"/>
        <v>4955</v>
      </c>
      <c r="F76" s="24">
        <f t="shared" si="5"/>
        <v>5903</v>
      </c>
      <c r="G76" s="24">
        <f t="shared" si="5"/>
        <v>2485</v>
      </c>
      <c r="H76" s="24">
        <f t="shared" si="5"/>
        <v>6657</v>
      </c>
      <c r="I76" s="24">
        <f>+SUM(I64:I75)</f>
        <v>5188</v>
      </c>
    </row>
    <row r="77" spans="1:9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>
      <c r="A78" s="2" t="s">
        <v>76</v>
      </c>
      <c r="B78" s="8">
        <v>-4936</v>
      </c>
      <c r="C78" s="8">
        <v>-5367</v>
      </c>
      <c r="D78" s="8">
        <v>-5928</v>
      </c>
      <c r="E78" s="8">
        <v>-4783</v>
      </c>
      <c r="F78" s="8">
        <v>-2937</v>
      </c>
      <c r="G78" s="8">
        <v>-2426</v>
      </c>
      <c r="H78" s="50">
        <v>-9961</v>
      </c>
      <c r="I78" s="50">
        <v>-12913</v>
      </c>
    </row>
    <row r="79" spans="1:9">
      <c r="A79" s="2" t="s">
        <v>77</v>
      </c>
      <c r="B79" s="8">
        <v>3655</v>
      </c>
      <c r="C79" s="8">
        <v>2924</v>
      </c>
      <c r="D79" s="8">
        <v>3623</v>
      </c>
      <c r="E79" s="8">
        <v>3613</v>
      </c>
      <c r="F79" s="8">
        <v>1715</v>
      </c>
      <c r="G79">
        <v>74</v>
      </c>
      <c r="H79" s="50">
        <v>4236</v>
      </c>
      <c r="I79" s="50">
        <v>8199</v>
      </c>
    </row>
    <row r="80" spans="1:9">
      <c r="A80" s="2" t="s">
        <v>78</v>
      </c>
      <c r="B80" s="8">
        <v>2216</v>
      </c>
      <c r="C80" s="8">
        <v>2386</v>
      </c>
      <c r="D80" s="8">
        <v>2423</v>
      </c>
      <c r="E80" s="8">
        <v>2496</v>
      </c>
      <c r="F80" s="8">
        <v>2072</v>
      </c>
      <c r="G80" s="8">
        <v>2379</v>
      </c>
      <c r="H80" s="50">
        <v>2449</v>
      </c>
      <c r="I80" s="50">
        <v>3967</v>
      </c>
    </row>
    <row r="81" spans="1:9">
      <c r="A81" s="2" t="s">
        <v>14</v>
      </c>
      <c r="B81">
        <v>-963</v>
      </c>
      <c r="C81" s="8">
        <v>-1143</v>
      </c>
      <c r="D81" s="8">
        <v>-1105</v>
      </c>
      <c r="E81" s="8">
        <v>-1028</v>
      </c>
      <c r="F81" s="8">
        <v>-1119</v>
      </c>
      <c r="G81" s="8">
        <v>-1086</v>
      </c>
      <c r="H81" s="50">
        <v>-695</v>
      </c>
      <c r="I81" s="50">
        <v>-758</v>
      </c>
    </row>
    <row r="82" spans="1:9">
      <c r="A82" s="2" t="s">
        <v>79</v>
      </c>
      <c r="B82" t="s">
        <v>153</v>
      </c>
      <c r="C82">
        <v>6</v>
      </c>
      <c r="D82">
        <v>-34</v>
      </c>
      <c r="E82">
        <v>-22</v>
      </c>
      <c r="F82">
        <v>5</v>
      </c>
      <c r="G82">
        <v>31</v>
      </c>
      <c r="H82" s="50">
        <v>171</v>
      </c>
      <c r="I82" s="50">
        <v>-19</v>
      </c>
    </row>
    <row r="83" spans="1:9">
      <c r="A83" s="25" t="s">
        <v>80</v>
      </c>
      <c r="B83" s="24">
        <f t="shared" ref="B83:H83" si="6">+SUM(B78:B82)</f>
        <v>-28</v>
      </c>
      <c r="C83" s="24">
        <f t="shared" si="6"/>
        <v>-1194</v>
      </c>
      <c r="D83" s="24">
        <f t="shared" si="6"/>
        <v>-1021</v>
      </c>
      <c r="E83" s="24">
        <f t="shared" si="6"/>
        <v>276</v>
      </c>
      <c r="F83" s="24">
        <f t="shared" si="6"/>
        <v>-264</v>
      </c>
      <c r="G83" s="24">
        <f t="shared" si="6"/>
        <v>-1028</v>
      </c>
      <c r="H83" s="24">
        <f t="shared" si="6"/>
        <v>-3800</v>
      </c>
      <c r="I83" s="24">
        <f>+SUM(I78:I82)</f>
        <v>-1524</v>
      </c>
    </row>
    <row r="84" spans="1:9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>
      <c r="A85" s="2" t="s">
        <v>82</v>
      </c>
      <c r="B85" t="s">
        <v>153</v>
      </c>
      <c r="C85">
        <v>981</v>
      </c>
      <c r="D85" s="8">
        <v>1482</v>
      </c>
      <c r="E85" t="s">
        <v>153</v>
      </c>
      <c r="F85" t="s">
        <v>153</v>
      </c>
      <c r="G85" t="s">
        <v>153</v>
      </c>
      <c r="H85" s="50">
        <v>0</v>
      </c>
      <c r="I85" s="50">
        <v>0</v>
      </c>
    </row>
    <row r="86" spans="1:9">
      <c r="A86" s="2" t="s">
        <v>83</v>
      </c>
      <c r="B86">
        <v>-63</v>
      </c>
      <c r="C86">
        <v>-67</v>
      </c>
      <c r="D86">
        <v>327</v>
      </c>
      <c r="E86">
        <v>13</v>
      </c>
      <c r="F86" t="s">
        <v>153</v>
      </c>
      <c r="G86" s="8">
        <v>6134</v>
      </c>
      <c r="H86" s="50">
        <v>-52</v>
      </c>
      <c r="I86" s="50">
        <v>15</v>
      </c>
    </row>
    <row r="87" spans="1:9">
      <c r="A87" s="2" t="s">
        <v>84</v>
      </c>
      <c r="B87">
        <v>-19</v>
      </c>
      <c r="C87" t="s">
        <v>153</v>
      </c>
      <c r="D87" t="s">
        <v>153</v>
      </c>
      <c r="E87">
        <v>13</v>
      </c>
      <c r="F87">
        <v>-325</v>
      </c>
      <c r="G87">
        <v>49</v>
      </c>
      <c r="H87" s="50">
        <v>-197</v>
      </c>
      <c r="I87" s="50">
        <v>0</v>
      </c>
    </row>
    <row r="88" spans="1:9">
      <c r="A88" s="2" t="s">
        <v>85</v>
      </c>
      <c r="B88">
        <v>514</v>
      </c>
      <c r="C88">
        <v>507</v>
      </c>
      <c r="D88" t="s">
        <v>153</v>
      </c>
      <c r="E88">
        <v>733</v>
      </c>
      <c r="F88">
        <v>700</v>
      </c>
      <c r="G88">
        <v>885</v>
      </c>
      <c r="H88" s="50">
        <v>1172</v>
      </c>
      <c r="I88" s="50">
        <v>1151</v>
      </c>
    </row>
    <row r="89" spans="1:9">
      <c r="A89" s="2" t="s">
        <v>16</v>
      </c>
      <c r="B89" s="8">
        <v>-2534</v>
      </c>
      <c r="C89" s="8">
        <v>-3238</v>
      </c>
      <c r="D89" s="8">
        <v>-3223</v>
      </c>
      <c r="E89" s="8">
        <v>-4254</v>
      </c>
      <c r="F89" s="8">
        <v>-4286</v>
      </c>
      <c r="G89" s="8">
        <v>-3067</v>
      </c>
      <c r="H89" s="50">
        <v>-608</v>
      </c>
      <c r="I89" s="50">
        <v>-4014</v>
      </c>
    </row>
    <row r="90" spans="1:9">
      <c r="A90" s="2" t="s">
        <v>86</v>
      </c>
      <c r="B90">
        <v>-899</v>
      </c>
      <c r="C90" s="8">
        <v>-1022</v>
      </c>
      <c r="D90" s="8">
        <v>-1133</v>
      </c>
      <c r="E90" s="8">
        <v>-1243</v>
      </c>
      <c r="F90" s="8">
        <v>-1332</v>
      </c>
      <c r="G90" s="8">
        <v>-1452</v>
      </c>
      <c r="H90" s="50">
        <v>-1638</v>
      </c>
      <c r="I90" s="50">
        <v>-1837</v>
      </c>
    </row>
    <row r="91" spans="1:9">
      <c r="A91" s="2" t="s">
        <v>87</v>
      </c>
      <c r="B91" s="50"/>
      <c r="C91" s="50"/>
      <c r="D91" s="50"/>
      <c r="E91">
        <v>-84</v>
      </c>
      <c r="F91">
        <v>-50</v>
      </c>
      <c r="G91">
        <v>-58</v>
      </c>
      <c r="H91" s="50">
        <v>-136</v>
      </c>
      <c r="I91" s="50">
        <v>-151</v>
      </c>
    </row>
    <row r="92" spans="1:9">
      <c r="A92" s="25" t="s">
        <v>88</v>
      </c>
      <c r="B92" s="24">
        <f t="shared" ref="B92:H92" si="7">+SUM(B85:B91)</f>
        <v>-3001</v>
      </c>
      <c r="C92" s="24">
        <f t="shared" si="7"/>
        <v>-2839</v>
      </c>
      <c r="D92" s="24">
        <f t="shared" si="7"/>
        <v>-2547</v>
      </c>
      <c r="E92" s="24">
        <f t="shared" si="7"/>
        <v>-4822</v>
      </c>
      <c r="F92" s="24">
        <f t="shared" si="7"/>
        <v>-5293</v>
      </c>
      <c r="G92" s="24">
        <f t="shared" si="7"/>
        <v>2491</v>
      </c>
      <c r="H92" s="24">
        <f t="shared" si="7"/>
        <v>-1459</v>
      </c>
      <c r="I92" s="24">
        <f>+SUM(I85:I91)</f>
        <v>-4836</v>
      </c>
    </row>
    <row r="93" spans="1:9">
      <c r="A93" s="2" t="s">
        <v>89</v>
      </c>
      <c r="B93">
        <v>-83</v>
      </c>
      <c r="C93">
        <v>-105</v>
      </c>
      <c r="D93">
        <v>-20</v>
      </c>
      <c r="E93">
        <v>45</v>
      </c>
      <c r="F93">
        <v>-129</v>
      </c>
      <c r="G93">
        <v>-66</v>
      </c>
      <c r="H93" s="50">
        <v>143</v>
      </c>
      <c r="I93" s="50">
        <v>-143</v>
      </c>
    </row>
    <row r="94" spans="1:9">
      <c r="A94" s="25" t="s">
        <v>90</v>
      </c>
      <c r="B94" s="24">
        <f t="shared" ref="B94:H94" si="8">+B76+B83+B92+B93</f>
        <v>-1705</v>
      </c>
      <c r="C94" s="24">
        <f t="shared" si="8"/>
        <v>-739</v>
      </c>
      <c r="D94" s="24">
        <f t="shared" si="8"/>
        <v>258</v>
      </c>
      <c r="E94" s="24">
        <f t="shared" si="8"/>
        <v>454</v>
      </c>
      <c r="F94" s="24">
        <f t="shared" si="8"/>
        <v>217</v>
      </c>
      <c r="G94" s="24">
        <f t="shared" si="8"/>
        <v>3882</v>
      </c>
      <c r="H94" s="24">
        <f t="shared" si="8"/>
        <v>1541</v>
      </c>
      <c r="I94" s="24">
        <f>+I76+I83+I92+I93</f>
        <v>-1315</v>
      </c>
    </row>
    <row r="95" spans="1:9">
      <c r="A95" t="s">
        <v>91</v>
      </c>
      <c r="B95" s="8">
        <v>2220</v>
      </c>
      <c r="C95" s="8">
        <v>3852</v>
      </c>
      <c r="D95" s="8">
        <v>3138</v>
      </c>
      <c r="E95" s="8">
        <v>3808</v>
      </c>
      <c r="F95" s="8">
        <v>4249</v>
      </c>
      <c r="G95" s="8">
        <v>4466</v>
      </c>
      <c r="H95" s="50">
        <v>8348</v>
      </c>
      <c r="I95" s="50">
        <v>9889</v>
      </c>
    </row>
    <row r="96" spans="1:9" ht="15" thickBot="1">
      <c r="A96" s="6" t="s">
        <v>92</v>
      </c>
      <c r="B96" s="8">
        <v>3852</v>
      </c>
      <c r="C96" s="8">
        <v>3138</v>
      </c>
      <c r="D96" s="8">
        <v>3808</v>
      </c>
      <c r="E96" s="8">
        <v>4249</v>
      </c>
      <c r="F96" s="8">
        <v>4466</v>
      </c>
      <c r="G96" s="8">
        <v>8348</v>
      </c>
      <c r="H96" s="55">
        <v>9889</v>
      </c>
      <c r="I96" s="55">
        <v>8574</v>
      </c>
    </row>
    <row r="97" spans="1:9" s="12" customFormat="1" ht="15" thickTop="1">
      <c r="A97" s="12" t="s">
        <v>19</v>
      </c>
      <c r="B97" s="13">
        <f t="shared" ref="B97:H97" si="9">+B96-B25</f>
        <v>0</v>
      </c>
      <c r="C97" s="13">
        <f t="shared" si="9"/>
        <v>0</v>
      </c>
      <c r="D97" s="13">
        <f t="shared" si="9"/>
        <v>0</v>
      </c>
      <c r="E97" s="13">
        <f t="shared" si="9"/>
        <v>0</v>
      </c>
      <c r="F97" s="13">
        <f t="shared" si="9"/>
        <v>0</v>
      </c>
      <c r="G97" s="13">
        <f t="shared" si="9"/>
        <v>0</v>
      </c>
      <c r="H97" s="13">
        <f t="shared" si="9"/>
        <v>0</v>
      </c>
      <c r="I97" s="13">
        <f>+I96-I25</f>
        <v>0</v>
      </c>
    </row>
    <row r="98" spans="1:9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>
      <c r="A100" s="11" t="s">
        <v>94</v>
      </c>
      <c r="B100">
        <v>53</v>
      </c>
      <c r="C100">
        <v>70</v>
      </c>
      <c r="D100">
        <v>98</v>
      </c>
      <c r="E100">
        <v>125</v>
      </c>
      <c r="F100">
        <v>153</v>
      </c>
      <c r="G100">
        <v>140</v>
      </c>
      <c r="H100" s="50">
        <v>293</v>
      </c>
      <c r="I100" s="50">
        <v>290</v>
      </c>
    </row>
    <row r="101" spans="1:9">
      <c r="A101" s="11" t="s">
        <v>18</v>
      </c>
      <c r="B101" s="8">
        <v>1262</v>
      </c>
      <c r="C101">
        <v>748</v>
      </c>
      <c r="D101">
        <v>703</v>
      </c>
      <c r="E101">
        <v>529</v>
      </c>
      <c r="F101">
        <v>757</v>
      </c>
      <c r="G101" s="8">
        <v>1028</v>
      </c>
      <c r="H101" s="50">
        <v>1177</v>
      </c>
      <c r="I101" s="50">
        <v>1231</v>
      </c>
    </row>
    <row r="102" spans="1:9">
      <c r="A102" s="11" t="s">
        <v>95</v>
      </c>
      <c r="B102">
        <v>206</v>
      </c>
      <c r="C102">
        <v>252</v>
      </c>
      <c r="D102">
        <v>266</v>
      </c>
      <c r="E102">
        <v>294</v>
      </c>
      <c r="F102">
        <v>160</v>
      </c>
      <c r="G102">
        <v>121</v>
      </c>
      <c r="H102" s="50">
        <v>179</v>
      </c>
      <c r="I102" s="50">
        <v>160</v>
      </c>
    </row>
    <row r="103" spans="1:9">
      <c r="A103" s="11" t="s">
        <v>96</v>
      </c>
      <c r="B103">
        <v>240</v>
      </c>
      <c r="C103">
        <v>271</v>
      </c>
      <c r="D103">
        <v>300</v>
      </c>
      <c r="E103">
        <v>320</v>
      </c>
      <c r="F103">
        <v>347</v>
      </c>
      <c r="G103">
        <v>385</v>
      </c>
      <c r="H103" s="50">
        <v>438</v>
      </c>
      <c r="I103" s="50">
        <v>480</v>
      </c>
    </row>
    <row r="105" spans="1:9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>
      <c r="A106" s="26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>
      <c r="A107" s="2" t="s">
        <v>100</v>
      </c>
      <c r="B107" s="50">
        <v>13740</v>
      </c>
      <c r="C107" s="50">
        <v>14764</v>
      </c>
      <c r="D107" s="50">
        <v>15216</v>
      </c>
      <c r="E107" s="50">
        <v>14855</v>
      </c>
      <c r="F107" s="50">
        <v>15902</v>
      </c>
      <c r="G107" s="50">
        <v>14484</v>
      </c>
      <c r="H107" s="50">
        <v>17179</v>
      </c>
      <c r="I107" s="50">
        <v>18353</v>
      </c>
    </row>
    <row r="108" spans="1:9">
      <c r="A108" s="11" t="s">
        <v>113</v>
      </c>
      <c r="B108" s="8">
        <v>8506</v>
      </c>
      <c r="C108" s="8">
        <v>9299</v>
      </c>
      <c r="D108" s="8">
        <v>9684</v>
      </c>
      <c r="E108" s="8">
        <v>9322</v>
      </c>
      <c r="F108" s="8">
        <v>10045</v>
      </c>
      <c r="G108" s="8">
        <v>9329</v>
      </c>
      <c r="H108" s="8">
        <v>11644</v>
      </c>
      <c r="I108" s="8">
        <v>12228</v>
      </c>
    </row>
    <row r="109" spans="1:9">
      <c r="A109" s="11" t="s">
        <v>114</v>
      </c>
      <c r="B109" s="8">
        <v>4410</v>
      </c>
      <c r="C109" s="8">
        <v>4746</v>
      </c>
      <c r="D109" s="8">
        <v>4886</v>
      </c>
      <c r="E109" s="8">
        <v>4938</v>
      </c>
      <c r="F109" s="8">
        <v>5260</v>
      </c>
      <c r="G109" s="8">
        <v>4639</v>
      </c>
      <c r="H109" s="8">
        <v>5028</v>
      </c>
      <c r="I109" s="8">
        <v>5492</v>
      </c>
    </row>
    <row r="110" spans="1:9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>
      <c r="A111" s="2" t="s">
        <v>101</v>
      </c>
      <c r="B111" s="50">
        <v>7126</v>
      </c>
      <c r="C111" s="50">
        <v>7568</v>
      </c>
      <c r="D111" s="50">
        <v>7970</v>
      </c>
      <c r="E111" s="50">
        <v>9242</v>
      </c>
      <c r="F111" s="50">
        <v>9812</v>
      </c>
      <c r="G111" s="50">
        <v>9347</v>
      </c>
      <c r="H111" s="50">
        <v>11456</v>
      </c>
      <c r="I111" s="50">
        <v>12479</v>
      </c>
    </row>
    <row r="112" spans="1:9">
      <c r="A112" s="11" t="s">
        <v>113</v>
      </c>
      <c r="B112" s="8">
        <v>4703</v>
      </c>
      <c r="C112" s="8">
        <v>5043</v>
      </c>
      <c r="D112" s="8">
        <v>5192</v>
      </c>
      <c r="E112" s="8">
        <v>5875</v>
      </c>
      <c r="F112" s="8">
        <v>6293</v>
      </c>
      <c r="G112" s="8">
        <v>5892</v>
      </c>
      <c r="H112" s="8">
        <v>6970</v>
      </c>
      <c r="I112" s="8">
        <v>7388</v>
      </c>
    </row>
    <row r="113" spans="1:9">
      <c r="A113" s="11" t="s">
        <v>114</v>
      </c>
      <c r="B113" s="8">
        <v>2051</v>
      </c>
      <c r="C113" s="8">
        <v>2149</v>
      </c>
      <c r="D113" s="8">
        <v>2395</v>
      </c>
      <c r="E113" s="8">
        <v>2940</v>
      </c>
      <c r="F113" s="8">
        <v>3087</v>
      </c>
      <c r="G113" s="8">
        <v>3053</v>
      </c>
      <c r="H113" s="8">
        <v>3996</v>
      </c>
      <c r="I113" s="8">
        <v>4527</v>
      </c>
    </row>
    <row r="114" spans="1:9">
      <c r="A114" s="11" t="s">
        <v>115</v>
      </c>
      <c r="B114" s="8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>
      <c r="A115" s="2" t="s">
        <v>102</v>
      </c>
      <c r="B115" s="50">
        <v>3067</v>
      </c>
      <c r="C115" s="50">
        <v>3785</v>
      </c>
      <c r="D115" s="50">
        <v>4237</v>
      </c>
      <c r="E115" s="50">
        <v>5134</v>
      </c>
      <c r="F115" s="50">
        <v>6208</v>
      </c>
      <c r="G115" s="50">
        <v>6679</v>
      </c>
      <c r="H115" s="50">
        <v>8290</v>
      </c>
      <c r="I115" s="50">
        <v>7547</v>
      </c>
    </row>
    <row r="116" spans="1:9">
      <c r="A116" s="11" t="s">
        <v>113</v>
      </c>
      <c r="B116" s="8">
        <v>2016</v>
      </c>
      <c r="C116" s="8">
        <v>2599</v>
      </c>
      <c r="D116" s="8">
        <v>2920</v>
      </c>
      <c r="E116" s="8">
        <v>3496</v>
      </c>
      <c r="F116" s="8">
        <v>4262</v>
      </c>
      <c r="G116" s="8">
        <v>4635</v>
      </c>
      <c r="H116" s="8">
        <v>5748</v>
      </c>
      <c r="I116" s="8">
        <v>5416</v>
      </c>
    </row>
    <row r="117" spans="1:9">
      <c r="A117" s="11" t="s">
        <v>114</v>
      </c>
      <c r="B117">
        <v>925</v>
      </c>
      <c r="C117" s="8">
        <v>1055</v>
      </c>
      <c r="D117" s="8">
        <v>1188</v>
      </c>
      <c r="E117" s="8">
        <v>1508</v>
      </c>
      <c r="F117" s="8">
        <v>1808</v>
      </c>
      <c r="G117" s="8">
        <v>1896</v>
      </c>
      <c r="H117" s="8">
        <v>2347</v>
      </c>
      <c r="I117" s="8">
        <v>1938</v>
      </c>
    </row>
    <row r="118" spans="1:9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>
      <c r="A119" s="2" t="s">
        <v>106</v>
      </c>
      <c r="B119" s="50">
        <v>4653</v>
      </c>
      <c r="C119" s="50">
        <v>4317</v>
      </c>
      <c r="D119" s="50">
        <v>4737</v>
      </c>
      <c r="E119" s="50">
        <v>5166</v>
      </c>
      <c r="F119" s="50">
        <v>5254</v>
      </c>
      <c r="G119" s="50">
        <v>5028</v>
      </c>
      <c r="H119" s="50">
        <v>5343</v>
      </c>
      <c r="I119" s="50">
        <v>5955</v>
      </c>
    </row>
    <row r="120" spans="1:9">
      <c r="A120" s="11" t="s">
        <v>113</v>
      </c>
      <c r="B120">
        <v>3093</v>
      </c>
      <c r="C120" s="8">
        <v>2930</v>
      </c>
      <c r="D120" s="8">
        <v>3285</v>
      </c>
      <c r="E120" s="8">
        <v>3575</v>
      </c>
      <c r="F120" s="8">
        <v>3622</v>
      </c>
      <c r="G120" s="8">
        <v>3449</v>
      </c>
      <c r="H120" s="8">
        <v>3659</v>
      </c>
      <c r="I120" s="8">
        <v>4111</v>
      </c>
    </row>
    <row r="121" spans="1:9">
      <c r="A121" s="11" t="s">
        <v>114</v>
      </c>
      <c r="B121">
        <v>1250</v>
      </c>
      <c r="C121" s="8">
        <v>1117</v>
      </c>
      <c r="D121" s="8">
        <v>1185</v>
      </c>
      <c r="E121" s="8">
        <v>1347</v>
      </c>
      <c r="F121" s="8">
        <v>1395</v>
      </c>
      <c r="G121" s="8">
        <v>1365</v>
      </c>
      <c r="H121" s="8">
        <v>1494</v>
      </c>
      <c r="I121" s="8">
        <v>1610</v>
      </c>
    </row>
    <row r="122" spans="1:9">
      <c r="A122" s="11" t="s">
        <v>115</v>
      </c>
      <c r="B122">
        <v>310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>
      <c r="A123" s="2" t="s">
        <v>107</v>
      </c>
      <c r="B123">
        <v>115</v>
      </c>
      <c r="C123">
        <v>73</v>
      </c>
      <c r="D123">
        <v>73</v>
      </c>
      <c r="E123">
        <v>88</v>
      </c>
      <c r="F123">
        <v>42</v>
      </c>
      <c r="G123">
        <v>30</v>
      </c>
      <c r="H123" s="50">
        <v>25</v>
      </c>
      <c r="I123" s="50">
        <v>102</v>
      </c>
    </row>
    <row r="124" spans="1:9">
      <c r="A124" s="4" t="s">
        <v>103</v>
      </c>
      <c r="B124" s="5">
        <f t="shared" ref="B124:I124" si="10">+B107+B111+B115+B119+B123</f>
        <v>28701</v>
      </c>
      <c r="C124" s="5">
        <f t="shared" si="10"/>
        <v>30507</v>
      </c>
      <c r="D124" s="5">
        <f t="shared" si="10"/>
        <v>32233</v>
      </c>
      <c r="E124" s="5">
        <f t="shared" si="10"/>
        <v>34485</v>
      </c>
      <c r="F124" s="5">
        <f t="shared" si="10"/>
        <v>37218</v>
      </c>
      <c r="G124" s="5">
        <f t="shared" si="10"/>
        <v>35568</v>
      </c>
      <c r="H124" s="5">
        <f t="shared" si="10"/>
        <v>42293</v>
      </c>
      <c r="I124" s="5">
        <f t="shared" si="10"/>
        <v>44436</v>
      </c>
    </row>
    <row r="125" spans="1:9">
      <c r="A125" s="2" t="s">
        <v>104</v>
      </c>
      <c r="B125" s="8">
        <v>1982</v>
      </c>
      <c r="C125" s="8">
        <v>1955</v>
      </c>
      <c r="D125" s="8">
        <v>2042</v>
      </c>
      <c r="E125" s="8">
        <v>1886</v>
      </c>
      <c r="F125" s="8">
        <v>1906</v>
      </c>
      <c r="G125" s="8">
        <v>1846</v>
      </c>
      <c r="H125" s="50">
        <v>2205</v>
      </c>
      <c r="I125" s="50">
        <v>2346</v>
      </c>
    </row>
    <row r="126" spans="1:9">
      <c r="A126" s="11" t="s">
        <v>113</v>
      </c>
      <c r="B126" s="8">
        <v>19938</v>
      </c>
      <c r="C126" s="8">
        <v>20821</v>
      </c>
      <c r="D126" s="3">
        <v>22267</v>
      </c>
      <c r="E126" s="3">
        <v>22800</v>
      </c>
      <c r="F126" s="3">
        <v>24226</v>
      </c>
      <c r="G126" s="3">
        <v>23305</v>
      </c>
      <c r="H126" s="3">
        <v>1986</v>
      </c>
      <c r="I126" s="3">
        <v>2094</v>
      </c>
    </row>
    <row r="127" spans="1:9">
      <c r="A127" s="11" t="s">
        <v>114</v>
      </c>
      <c r="B127" s="3">
        <v>8264</v>
      </c>
      <c r="C127" s="3">
        <v>8825</v>
      </c>
      <c r="D127" s="3">
        <v>9655</v>
      </c>
      <c r="E127" s="3">
        <v>10000</v>
      </c>
      <c r="F127" s="3">
        <v>10965</v>
      </c>
      <c r="G127" s="3">
        <v>10036</v>
      </c>
      <c r="H127" s="3">
        <v>104</v>
      </c>
      <c r="I127" s="3">
        <v>103</v>
      </c>
    </row>
    <row r="128" spans="1:9">
      <c r="A128" s="11" t="s">
        <v>115</v>
      </c>
      <c r="B128" s="3">
        <v>13</v>
      </c>
      <c r="C128" s="3">
        <v>15</v>
      </c>
      <c r="D128" s="3">
        <v>14</v>
      </c>
      <c r="E128" s="3">
        <v>14</v>
      </c>
      <c r="F128" s="3">
        <v>12</v>
      </c>
      <c r="G128" s="3">
        <v>16</v>
      </c>
      <c r="H128" s="3">
        <v>23</v>
      </c>
      <c r="I128" s="3">
        <v>26</v>
      </c>
    </row>
    <row r="129" spans="1:9">
      <c r="A129" s="11" t="s">
        <v>121</v>
      </c>
      <c r="B129" s="3">
        <v>50</v>
      </c>
      <c r="C129" s="3">
        <v>52</v>
      </c>
      <c r="D129" s="3">
        <v>55</v>
      </c>
      <c r="E129" s="3">
        <v>52</v>
      </c>
      <c r="F129" s="3">
        <v>56</v>
      </c>
      <c r="G129" s="3">
        <v>49</v>
      </c>
      <c r="H129" s="3">
        <v>86</v>
      </c>
      <c r="I129" s="3">
        <v>123</v>
      </c>
    </row>
    <row r="130" spans="1:9">
      <c r="A130" s="2" t="s">
        <v>108</v>
      </c>
      <c r="B130">
        <v>-82</v>
      </c>
      <c r="C130">
        <v>-86</v>
      </c>
      <c r="D130">
        <v>75</v>
      </c>
      <c r="E130">
        <v>26</v>
      </c>
      <c r="F130">
        <v>-7</v>
      </c>
      <c r="G130">
        <v>-11</v>
      </c>
      <c r="H130" s="50">
        <v>40</v>
      </c>
      <c r="I130" s="50">
        <v>-72</v>
      </c>
    </row>
    <row r="131" spans="1:9" ht="15" thickBot="1">
      <c r="A131" s="6" t="s">
        <v>105</v>
      </c>
      <c r="B131" s="7">
        <f t="shared" ref="B131:H131" si="11">+B124+B125+B130</f>
        <v>30601</v>
      </c>
      <c r="C131" s="7">
        <f t="shared" si="11"/>
        <v>32376</v>
      </c>
      <c r="D131" s="7">
        <f t="shared" si="11"/>
        <v>34350</v>
      </c>
      <c r="E131" s="7">
        <f t="shared" si="11"/>
        <v>36397</v>
      </c>
      <c r="F131" s="7">
        <f t="shared" si="11"/>
        <v>39117</v>
      </c>
      <c r="G131" s="7">
        <f t="shared" si="11"/>
        <v>37403</v>
      </c>
      <c r="H131" s="7">
        <f t="shared" si="11"/>
        <v>44538</v>
      </c>
      <c r="I131" s="7">
        <f>+I124+I125+I130</f>
        <v>46710</v>
      </c>
    </row>
    <row r="132" spans="1:9" s="12" customFormat="1" ht="15" thickTop="1">
      <c r="A132" s="12" t="s">
        <v>111</v>
      </c>
      <c r="B132" s="13">
        <f>+I131-I2</f>
        <v>0</v>
      </c>
      <c r="C132" s="13">
        <f t="shared" ref="C132:G132" si="12">+C131-C2</f>
        <v>0</v>
      </c>
      <c r="D132" s="13">
        <f t="shared" si="12"/>
        <v>0</v>
      </c>
      <c r="E132" s="13">
        <f t="shared" si="12"/>
        <v>0</v>
      </c>
      <c r="F132" s="13">
        <f t="shared" si="12"/>
        <v>0</v>
      </c>
      <c r="G132" s="13">
        <f t="shared" si="12"/>
        <v>0</v>
      </c>
      <c r="H132" s="13">
        <f>+H131-H2</f>
        <v>0</v>
      </c>
    </row>
    <row r="133" spans="1:9">
      <c r="A133" s="1" t="s">
        <v>110</v>
      </c>
    </row>
    <row r="134" spans="1:9">
      <c r="A134" s="2" t="s">
        <v>100</v>
      </c>
      <c r="B134" s="8">
        <v>3645</v>
      </c>
      <c r="C134" s="8">
        <v>3763</v>
      </c>
      <c r="D134" s="8">
        <v>3875</v>
      </c>
      <c r="E134" s="8">
        <v>3600</v>
      </c>
      <c r="F134" s="8">
        <v>3925</v>
      </c>
      <c r="G134" s="8">
        <v>2899</v>
      </c>
      <c r="H134" s="50">
        <v>5089</v>
      </c>
      <c r="I134" s="50">
        <v>5114</v>
      </c>
    </row>
    <row r="135" spans="1:9">
      <c r="A135" s="2" t="s">
        <v>101</v>
      </c>
      <c r="B135" s="8">
        <v>1524</v>
      </c>
      <c r="C135" s="8">
        <v>1787</v>
      </c>
      <c r="D135" s="8">
        <v>1507</v>
      </c>
      <c r="E135" s="8">
        <v>1587</v>
      </c>
      <c r="F135" s="8">
        <v>1995</v>
      </c>
      <c r="G135" s="8">
        <v>1541</v>
      </c>
      <c r="H135" s="50">
        <v>2435</v>
      </c>
      <c r="I135" s="50">
        <v>3293</v>
      </c>
    </row>
    <row r="136" spans="1:9">
      <c r="A136" s="2" t="s">
        <v>102</v>
      </c>
      <c r="B136">
        <v>993</v>
      </c>
      <c r="C136" s="8">
        <v>1372</v>
      </c>
      <c r="D136" s="8">
        <v>1507</v>
      </c>
      <c r="E136" s="8">
        <v>1807</v>
      </c>
      <c r="F136" s="8">
        <v>2376</v>
      </c>
      <c r="G136" s="8">
        <v>2490</v>
      </c>
      <c r="H136" s="50">
        <v>3243</v>
      </c>
      <c r="I136" s="50">
        <v>2365</v>
      </c>
    </row>
    <row r="137" spans="1:9">
      <c r="A137" s="2" t="s">
        <v>106</v>
      </c>
      <c r="B137" s="50">
        <v>918</v>
      </c>
      <c r="C137" s="8">
        <v>1002</v>
      </c>
      <c r="D137">
        <v>980</v>
      </c>
      <c r="E137" s="8">
        <v>1189</v>
      </c>
      <c r="F137" s="8">
        <v>1323</v>
      </c>
      <c r="G137" s="8">
        <v>1184</v>
      </c>
      <c r="H137" s="50">
        <v>1530</v>
      </c>
      <c r="I137" s="50">
        <v>1896</v>
      </c>
    </row>
    <row r="138" spans="1:9">
      <c r="A138" s="2" t="s">
        <v>107</v>
      </c>
      <c r="B138" s="50">
        <v>-2263</v>
      </c>
      <c r="C138">
        <v>-2596</v>
      </c>
      <c r="D138">
        <v>-2677</v>
      </c>
      <c r="E138">
        <v>-2658</v>
      </c>
      <c r="F138">
        <v>-3262</v>
      </c>
      <c r="G138">
        <v>-3468</v>
      </c>
      <c r="H138" s="50">
        <v>-3656</v>
      </c>
      <c r="I138" s="50">
        <v>-4262</v>
      </c>
    </row>
    <row r="139" spans="1:9">
      <c r="A139" s="4" t="s">
        <v>103</v>
      </c>
      <c r="B139" s="5">
        <f t="shared" ref="B139:I139" si="13">+SUM(B134:B138)</f>
        <v>4817</v>
      </c>
      <c r="C139" s="5">
        <f t="shared" si="13"/>
        <v>5328</v>
      </c>
      <c r="D139" s="5">
        <f t="shared" si="13"/>
        <v>5192</v>
      </c>
      <c r="E139" s="5">
        <f t="shared" si="13"/>
        <v>5525</v>
      </c>
      <c r="F139" s="5">
        <f t="shared" si="13"/>
        <v>6357</v>
      </c>
      <c r="G139" s="5">
        <f t="shared" si="13"/>
        <v>4646</v>
      </c>
      <c r="H139" s="5">
        <f t="shared" si="13"/>
        <v>8641</v>
      </c>
      <c r="I139" s="5">
        <f t="shared" si="13"/>
        <v>8406</v>
      </c>
    </row>
    <row r="140" spans="1:9">
      <c r="A140" s="2" t="s">
        <v>104</v>
      </c>
      <c r="B140">
        <v>517</v>
      </c>
      <c r="C140">
        <v>487</v>
      </c>
      <c r="D140">
        <v>477</v>
      </c>
      <c r="E140">
        <v>310</v>
      </c>
      <c r="F140">
        <v>303</v>
      </c>
      <c r="G140">
        <v>297</v>
      </c>
      <c r="H140" s="50">
        <v>543</v>
      </c>
      <c r="I140" s="50">
        <v>669</v>
      </c>
    </row>
    <row r="141" spans="1:9">
      <c r="A141" s="2" t="s">
        <v>108</v>
      </c>
      <c r="B141" s="50">
        <v>-1101</v>
      </c>
      <c r="C141" s="50">
        <v>-1173</v>
      </c>
      <c r="D141" s="50">
        <v>-724</v>
      </c>
      <c r="E141" s="8">
        <v>-1456</v>
      </c>
      <c r="F141" s="8">
        <v>-1810</v>
      </c>
      <c r="G141" s="8">
        <v>-1967</v>
      </c>
      <c r="H141" s="50">
        <v>-2261</v>
      </c>
      <c r="I141" s="50">
        <v>-2219</v>
      </c>
    </row>
    <row r="142" spans="1:9" ht="15" thickBot="1">
      <c r="A142" s="6" t="s">
        <v>112</v>
      </c>
      <c r="B142" s="7">
        <f t="shared" ref="B142" si="14">+SUM(B139:B141)</f>
        <v>4233</v>
      </c>
      <c r="C142" s="7">
        <f t="shared" ref="C142:H142" si="15">+SUM(C139:C141)</f>
        <v>4642</v>
      </c>
      <c r="D142" s="7">
        <f t="shared" si="15"/>
        <v>4945</v>
      </c>
      <c r="E142" s="7">
        <f t="shared" si="15"/>
        <v>4379</v>
      </c>
      <c r="F142" s="7">
        <f t="shared" si="15"/>
        <v>4850</v>
      </c>
      <c r="G142" s="7">
        <f t="shared" si="15"/>
        <v>2976</v>
      </c>
      <c r="H142" s="7">
        <f t="shared" si="15"/>
        <v>6923</v>
      </c>
      <c r="I142" s="7">
        <f>+SUM(I139:I141)</f>
        <v>6856</v>
      </c>
    </row>
    <row r="143" spans="1:9" s="12" customFormat="1" ht="15" thickTop="1">
      <c r="A143" s="12" t="s">
        <v>111</v>
      </c>
      <c r="B143" s="13">
        <f t="shared" ref="B143:H143" si="16">+B142-B10-B8</f>
        <v>0</v>
      </c>
      <c r="C143" s="13">
        <f t="shared" si="16"/>
        <v>0</v>
      </c>
      <c r="D143" s="13">
        <f t="shared" si="16"/>
        <v>0</v>
      </c>
      <c r="E143" s="13">
        <f t="shared" si="16"/>
        <v>0</v>
      </c>
      <c r="F143" s="13">
        <f t="shared" si="16"/>
        <v>0</v>
      </c>
      <c r="G143" s="13">
        <f t="shared" si="16"/>
        <v>0</v>
      </c>
      <c r="H143" s="13">
        <f t="shared" si="16"/>
        <v>0</v>
      </c>
      <c r="I143" s="13">
        <f>+I142-I10-I8</f>
        <v>0</v>
      </c>
    </row>
    <row r="144" spans="1:9">
      <c r="A144" s="1" t="s">
        <v>117</v>
      </c>
    </row>
    <row r="145" spans="1:9">
      <c r="A145" s="2" t="s">
        <v>100</v>
      </c>
      <c r="B145" s="3">
        <v>637</v>
      </c>
      <c r="C145" s="3">
        <v>640</v>
      </c>
      <c r="D145" s="3">
        <v>650</v>
      </c>
      <c r="E145" s="3">
        <v>610</v>
      </c>
      <c r="F145" s="3">
        <v>637</v>
      </c>
      <c r="G145" s="3">
        <v>645</v>
      </c>
      <c r="H145" s="3">
        <v>617</v>
      </c>
      <c r="I145" s="3">
        <v>639</v>
      </c>
    </row>
    <row r="146" spans="1:9">
      <c r="A146" s="2" t="s">
        <v>101</v>
      </c>
      <c r="B146" s="3">
        <v>875</v>
      </c>
      <c r="C146" s="3">
        <v>890</v>
      </c>
      <c r="D146" s="3">
        <v>905</v>
      </c>
      <c r="E146" s="3">
        <v>930</v>
      </c>
      <c r="F146" s="3">
        <v>938</v>
      </c>
      <c r="G146" s="3">
        <v>885</v>
      </c>
      <c r="H146" s="3">
        <v>982</v>
      </c>
      <c r="I146" s="3">
        <v>920</v>
      </c>
    </row>
    <row r="147" spans="1:9">
      <c r="A147" s="2" t="s">
        <v>102</v>
      </c>
      <c r="B147" s="3">
        <v>215</v>
      </c>
      <c r="C147" s="3">
        <v>220</v>
      </c>
      <c r="D147" s="3">
        <v>230</v>
      </c>
      <c r="E147" s="3">
        <v>245</v>
      </c>
      <c r="F147" s="3">
        <v>224</v>
      </c>
      <c r="G147" s="3">
        <v>214</v>
      </c>
      <c r="H147" s="3">
        <v>288</v>
      </c>
      <c r="I147" s="3">
        <v>303</v>
      </c>
    </row>
    <row r="148" spans="1:9">
      <c r="A148" s="2" t="s">
        <v>118</v>
      </c>
      <c r="B148" s="3">
        <v>320</v>
      </c>
      <c r="C148" s="3">
        <v>330</v>
      </c>
      <c r="D148" s="3">
        <v>340</v>
      </c>
      <c r="E148" s="3">
        <v>310</v>
      </c>
      <c r="F148" s="3">
        <v>305</v>
      </c>
      <c r="G148" s="3">
        <v>296</v>
      </c>
      <c r="H148" s="3">
        <v>304</v>
      </c>
      <c r="I148" s="3">
        <v>274</v>
      </c>
    </row>
    <row r="149" spans="1:9">
      <c r="A149" s="2" t="s">
        <v>107</v>
      </c>
      <c r="B149" s="3">
        <v>800</v>
      </c>
      <c r="C149" s="3">
        <v>810</v>
      </c>
      <c r="D149" s="3">
        <v>825</v>
      </c>
      <c r="E149" s="3">
        <v>850</v>
      </c>
      <c r="F149" s="3">
        <v>867</v>
      </c>
      <c r="G149" s="3">
        <v>830</v>
      </c>
      <c r="H149" s="3">
        <v>780</v>
      </c>
      <c r="I149" s="3">
        <v>789</v>
      </c>
    </row>
    <row r="150" spans="1:9">
      <c r="A150" s="4" t="s">
        <v>119</v>
      </c>
      <c r="B150" s="5">
        <f t="shared" ref="B150:I150" si="17">+SUM(B145:B149)</f>
        <v>2847</v>
      </c>
      <c r="C150" s="5">
        <f t="shared" si="17"/>
        <v>2890</v>
      </c>
      <c r="D150" s="5">
        <f t="shared" si="17"/>
        <v>2950</v>
      </c>
      <c r="E150" s="5">
        <f t="shared" si="17"/>
        <v>2945</v>
      </c>
      <c r="F150" s="5">
        <f t="shared" si="17"/>
        <v>2971</v>
      </c>
      <c r="G150" s="5">
        <f t="shared" si="17"/>
        <v>2870</v>
      </c>
      <c r="H150" s="5">
        <f t="shared" si="17"/>
        <v>2971</v>
      </c>
      <c r="I150" s="5">
        <f t="shared" si="17"/>
        <v>2925</v>
      </c>
    </row>
    <row r="151" spans="1:9">
      <c r="A151" s="2" t="s">
        <v>104</v>
      </c>
      <c r="B151" s="3">
        <v>122</v>
      </c>
      <c r="C151" s="3">
        <v>125</v>
      </c>
      <c r="D151" s="3">
        <v>129</v>
      </c>
      <c r="E151" s="3">
        <v>130</v>
      </c>
      <c r="F151" s="3">
        <v>125</v>
      </c>
      <c r="G151" s="3">
        <v>76</v>
      </c>
      <c r="H151" s="3">
        <v>63</v>
      </c>
      <c r="I151" s="3">
        <v>49</v>
      </c>
    </row>
    <row r="152" spans="1:9">
      <c r="A152" s="2" t="s">
        <v>108</v>
      </c>
      <c r="B152" s="3">
        <v>42</v>
      </c>
      <c r="C152" s="3">
        <v>505</v>
      </c>
      <c r="D152" s="3">
        <v>910</v>
      </c>
      <c r="E152" s="3">
        <v>1379</v>
      </c>
      <c r="F152" s="3">
        <v>1648</v>
      </c>
      <c r="G152" s="3">
        <v>1920</v>
      </c>
      <c r="H152" s="3">
        <v>1870</v>
      </c>
      <c r="I152" s="3">
        <v>1817</v>
      </c>
    </row>
    <row r="153" spans="1:9" ht="15" thickBot="1">
      <c r="A153" s="6" t="s">
        <v>120</v>
      </c>
      <c r="B153" s="7">
        <f t="shared" ref="B153:H153" si="18">+SUM(B150:B152)</f>
        <v>3011</v>
      </c>
      <c r="C153" s="7">
        <f t="shared" si="18"/>
        <v>3520</v>
      </c>
      <c r="D153" s="7">
        <f t="shared" si="18"/>
        <v>3989</v>
      </c>
      <c r="E153" s="7">
        <f t="shared" si="18"/>
        <v>4454</v>
      </c>
      <c r="F153" s="7">
        <f t="shared" si="18"/>
        <v>4744</v>
      </c>
      <c r="G153" s="7">
        <f t="shared" si="18"/>
        <v>4866</v>
      </c>
      <c r="H153" s="7">
        <f t="shared" si="18"/>
        <v>4904</v>
      </c>
      <c r="I153" s="7">
        <f>+SUM(I150:I152)</f>
        <v>4791</v>
      </c>
    </row>
    <row r="154" spans="1:9" ht="15" thickTop="1">
      <c r="A154" s="12" t="s">
        <v>111</v>
      </c>
      <c r="B154" s="13">
        <f t="shared" ref="B154:H154" si="19">+B153-B31</f>
        <v>0</v>
      </c>
      <c r="C154" s="13">
        <f t="shared" si="19"/>
        <v>0</v>
      </c>
      <c r="D154" s="13">
        <f t="shared" si="19"/>
        <v>0</v>
      </c>
      <c r="E154" s="13">
        <f t="shared" si="19"/>
        <v>0</v>
      </c>
      <c r="F154" s="13">
        <f t="shared" si="19"/>
        <v>0</v>
      </c>
      <c r="G154" s="13">
        <f t="shared" si="19"/>
        <v>0</v>
      </c>
      <c r="H154" s="13">
        <f t="shared" si="19"/>
        <v>0</v>
      </c>
      <c r="I154" s="13">
        <f>+I153-I31</f>
        <v>0</v>
      </c>
    </row>
    <row r="155" spans="1:9">
      <c r="A155" s="1" t="s">
        <v>122</v>
      </c>
    </row>
    <row r="156" spans="1:9">
      <c r="A156" s="2" t="s">
        <v>100</v>
      </c>
      <c r="B156" s="3">
        <v>110</v>
      </c>
      <c r="C156" s="3">
        <v>115</v>
      </c>
      <c r="D156" s="3">
        <v>120</v>
      </c>
      <c r="E156" s="3">
        <v>98</v>
      </c>
      <c r="F156" s="3">
        <v>102</v>
      </c>
      <c r="G156" s="3">
        <v>100</v>
      </c>
      <c r="H156" s="3">
        <v>98</v>
      </c>
      <c r="I156" s="3">
        <v>146</v>
      </c>
    </row>
    <row r="157" spans="1:9">
      <c r="A157" s="2" t="s">
        <v>101</v>
      </c>
      <c r="B157" s="3">
        <v>140</v>
      </c>
      <c r="C157" s="3">
        <v>145</v>
      </c>
      <c r="D157" s="3">
        <v>153</v>
      </c>
      <c r="E157" s="3">
        <v>165</v>
      </c>
      <c r="F157" s="3">
        <v>170</v>
      </c>
      <c r="G157" s="3">
        <v>153</v>
      </c>
      <c r="H157" s="3">
        <v>153</v>
      </c>
      <c r="I157" s="3">
        <v>197</v>
      </c>
    </row>
    <row r="158" spans="1:9">
      <c r="A158" s="2" t="s">
        <v>102</v>
      </c>
      <c r="B158" s="3">
        <v>75</v>
      </c>
      <c r="C158" s="3">
        <v>80</v>
      </c>
      <c r="D158" s="3">
        <v>85</v>
      </c>
      <c r="E158" s="3">
        <v>94</v>
      </c>
      <c r="F158" s="3">
        <v>98</v>
      </c>
      <c r="G158" s="3">
        <v>94</v>
      </c>
      <c r="H158" s="3">
        <v>94</v>
      </c>
      <c r="I158" s="3">
        <v>78</v>
      </c>
    </row>
    <row r="159" spans="1:9">
      <c r="A159" s="2" t="s">
        <v>118</v>
      </c>
      <c r="B159" s="3">
        <v>50</v>
      </c>
      <c r="C159" s="3">
        <v>52</v>
      </c>
      <c r="D159" s="3">
        <v>54</v>
      </c>
      <c r="E159" s="3">
        <v>56</v>
      </c>
      <c r="F159" s="3">
        <v>58</v>
      </c>
      <c r="G159" s="3">
        <v>54</v>
      </c>
      <c r="H159" s="3">
        <v>54</v>
      </c>
      <c r="I159" s="3">
        <v>56</v>
      </c>
    </row>
    <row r="160" spans="1:9">
      <c r="A160" s="2" t="s">
        <v>107</v>
      </c>
      <c r="B160" s="3">
        <v>270</v>
      </c>
      <c r="C160" s="3">
        <v>280</v>
      </c>
      <c r="D160" s="3">
        <v>278</v>
      </c>
      <c r="E160" s="3">
        <v>285</v>
      </c>
      <c r="F160" s="3">
        <v>290</v>
      </c>
      <c r="G160" s="3">
        <v>278</v>
      </c>
      <c r="H160" s="3">
        <v>278</v>
      </c>
      <c r="I160" s="3">
        <v>222</v>
      </c>
    </row>
    <row r="161" spans="1:9">
      <c r="A161" s="4" t="s">
        <v>119</v>
      </c>
      <c r="B161" s="5">
        <f t="shared" ref="B161:I161" si="20">+SUM(B156:B160)</f>
        <v>645</v>
      </c>
      <c r="C161" s="5">
        <f t="shared" si="20"/>
        <v>672</v>
      </c>
      <c r="D161" s="5">
        <f t="shared" si="20"/>
        <v>690</v>
      </c>
      <c r="E161" s="5">
        <f t="shared" si="20"/>
        <v>698</v>
      </c>
      <c r="F161" s="5">
        <f t="shared" si="20"/>
        <v>718</v>
      </c>
      <c r="G161" s="5">
        <f t="shared" si="20"/>
        <v>679</v>
      </c>
      <c r="H161" s="5">
        <f t="shared" si="20"/>
        <v>677</v>
      </c>
      <c r="I161" s="5">
        <f t="shared" si="20"/>
        <v>699</v>
      </c>
    </row>
    <row r="162" spans="1:9">
      <c r="A162" s="2" t="s">
        <v>104</v>
      </c>
      <c r="B162" s="3">
        <v>1</v>
      </c>
      <c r="C162" s="3">
        <v>3</v>
      </c>
      <c r="D162" s="3">
        <v>4</v>
      </c>
      <c r="E162" s="3">
        <v>6</v>
      </c>
      <c r="F162" s="3">
        <v>4</v>
      </c>
      <c r="G162" s="3">
        <v>6</v>
      </c>
      <c r="H162" s="3">
        <v>7</v>
      </c>
      <c r="I162" s="3">
        <v>9</v>
      </c>
    </row>
    <row r="163" spans="1:9">
      <c r="A163" s="2" t="s">
        <v>108</v>
      </c>
      <c r="B163" s="3">
        <f t="shared" ref="B163:H163" si="21">-(SUM(B161:B162)+B81)</f>
        <v>317</v>
      </c>
      <c r="C163" s="3">
        <f t="shared" si="21"/>
        <v>468</v>
      </c>
      <c r="D163" s="3">
        <f t="shared" si="21"/>
        <v>411</v>
      </c>
      <c r="E163" s="3">
        <f t="shared" si="21"/>
        <v>324</v>
      </c>
      <c r="F163" s="3">
        <f t="shared" si="21"/>
        <v>397</v>
      </c>
      <c r="G163" s="3">
        <f t="shared" si="21"/>
        <v>401</v>
      </c>
      <c r="H163" s="3">
        <f t="shared" si="21"/>
        <v>11</v>
      </c>
      <c r="I163" s="3">
        <f>-(SUM(I161:I162)+I81)</f>
        <v>50</v>
      </c>
    </row>
    <row r="164" spans="1:9" ht="15" thickBot="1">
      <c r="A164" s="6" t="s">
        <v>123</v>
      </c>
      <c r="B164" s="7">
        <f t="shared" ref="B164:H164" si="22">+SUM(B161:B163)</f>
        <v>963</v>
      </c>
      <c r="C164" s="7">
        <f t="shared" si="22"/>
        <v>1143</v>
      </c>
      <c r="D164" s="7">
        <f t="shared" si="22"/>
        <v>1105</v>
      </c>
      <c r="E164" s="7">
        <f t="shared" si="22"/>
        <v>1028</v>
      </c>
      <c r="F164" s="7">
        <f t="shared" si="22"/>
        <v>1119</v>
      </c>
      <c r="G164" s="7">
        <f t="shared" si="22"/>
        <v>1086</v>
      </c>
      <c r="H164" s="7">
        <f t="shared" si="22"/>
        <v>695</v>
      </c>
      <c r="I164" s="7">
        <f>+SUM(I161:I163)</f>
        <v>758</v>
      </c>
    </row>
    <row r="165" spans="1:9" ht="15" thickTop="1">
      <c r="A165" s="12" t="s">
        <v>111</v>
      </c>
      <c r="B165" s="13">
        <f t="shared" ref="B165:H165" si="23">+B164+B81</f>
        <v>0</v>
      </c>
      <c r="C165" s="13">
        <f t="shared" si="23"/>
        <v>0</v>
      </c>
      <c r="D165" s="13">
        <f t="shared" si="23"/>
        <v>0</v>
      </c>
      <c r="E165" s="13">
        <f t="shared" si="23"/>
        <v>0</v>
      </c>
      <c r="F165" s="13">
        <f t="shared" si="23"/>
        <v>0</v>
      </c>
      <c r="G165" s="13">
        <f t="shared" si="23"/>
        <v>0</v>
      </c>
      <c r="H165" s="13">
        <f t="shared" si="23"/>
        <v>0</v>
      </c>
      <c r="I165" s="13">
        <f>+I164+I81</f>
        <v>0</v>
      </c>
    </row>
    <row r="166" spans="1:9">
      <c r="A166" s="1" t="s">
        <v>124</v>
      </c>
    </row>
    <row r="167" spans="1:9">
      <c r="A167" s="2" t="s">
        <v>100</v>
      </c>
      <c r="B167" s="3">
        <v>109</v>
      </c>
      <c r="C167" s="3">
        <v>121</v>
      </c>
      <c r="D167" s="3">
        <v>125</v>
      </c>
      <c r="E167" s="3">
        <v>128</v>
      </c>
      <c r="F167" s="3">
        <v>130</v>
      </c>
      <c r="G167" s="3">
        <v>130</v>
      </c>
      <c r="H167" s="3">
        <v>130</v>
      </c>
      <c r="I167" s="3">
        <v>124</v>
      </c>
    </row>
    <row r="168" spans="1:9">
      <c r="A168" s="2" t="s">
        <v>101</v>
      </c>
      <c r="B168" s="3">
        <v>71</v>
      </c>
      <c r="C168" s="3">
        <v>75</v>
      </c>
      <c r="D168" s="3">
        <v>78</v>
      </c>
      <c r="E168" s="3">
        <v>80</v>
      </c>
      <c r="F168" s="3">
        <v>136</v>
      </c>
      <c r="G168" s="3">
        <v>136</v>
      </c>
      <c r="H168" s="3">
        <v>136</v>
      </c>
      <c r="I168" s="3">
        <v>134</v>
      </c>
    </row>
    <row r="169" spans="1:9">
      <c r="A169" s="2" t="s">
        <v>102</v>
      </c>
      <c r="B169" s="3">
        <v>38</v>
      </c>
      <c r="C169" s="3">
        <v>42</v>
      </c>
      <c r="D169" s="3">
        <v>41</v>
      </c>
      <c r="E169" s="3">
        <v>42</v>
      </c>
      <c r="F169" s="3">
        <v>44</v>
      </c>
      <c r="G169" s="3">
        <v>45</v>
      </c>
      <c r="H169" s="3">
        <v>46</v>
      </c>
      <c r="I169" s="3">
        <v>41</v>
      </c>
    </row>
    <row r="170" spans="1:9">
      <c r="A170" s="2" t="s">
        <v>106</v>
      </c>
      <c r="B170" s="3">
        <v>23</v>
      </c>
      <c r="C170" s="3">
        <v>25</v>
      </c>
      <c r="D170" s="3">
        <v>29</v>
      </c>
      <c r="E170" s="3">
        <v>35</v>
      </c>
      <c r="F170" s="3">
        <v>40</v>
      </c>
      <c r="G170" s="3">
        <v>43</v>
      </c>
      <c r="H170" s="3">
        <v>43</v>
      </c>
      <c r="I170" s="3">
        <v>42</v>
      </c>
    </row>
    <row r="171" spans="1:9">
      <c r="A171" s="2" t="s">
        <v>107</v>
      </c>
      <c r="B171" s="3">
        <v>170</v>
      </c>
      <c r="C171" s="3">
        <v>179</v>
      </c>
      <c r="D171" s="3">
        <v>187</v>
      </c>
      <c r="E171" s="3">
        <v>192</v>
      </c>
      <c r="F171" s="3">
        <v>199</v>
      </c>
      <c r="G171" s="3">
        <v>211</v>
      </c>
      <c r="H171" s="3">
        <v>222</v>
      </c>
      <c r="I171" s="3">
        <v>220</v>
      </c>
    </row>
    <row r="172" spans="1:9">
      <c r="A172" s="4" t="s">
        <v>119</v>
      </c>
      <c r="B172" s="5">
        <f t="shared" ref="B172:I172" si="24">+SUM(B167:B171)</f>
        <v>411</v>
      </c>
      <c r="C172" s="5">
        <f t="shared" si="24"/>
        <v>442</v>
      </c>
      <c r="D172" s="5">
        <f t="shared" si="24"/>
        <v>460</v>
      </c>
      <c r="E172" s="5">
        <f t="shared" si="24"/>
        <v>477</v>
      </c>
      <c r="F172" s="5">
        <f t="shared" si="24"/>
        <v>549</v>
      </c>
      <c r="G172" s="5">
        <f t="shared" si="24"/>
        <v>565</v>
      </c>
      <c r="H172" s="5">
        <f t="shared" si="24"/>
        <v>577</v>
      </c>
      <c r="I172" s="5">
        <f t="shared" si="24"/>
        <v>561</v>
      </c>
    </row>
    <row r="173" spans="1:9">
      <c r="A173" s="2" t="s">
        <v>104</v>
      </c>
      <c r="B173" s="3">
        <v>16</v>
      </c>
      <c r="C173" s="3">
        <v>18</v>
      </c>
      <c r="D173" s="3">
        <v>20</v>
      </c>
      <c r="E173" s="3">
        <v>23</v>
      </c>
      <c r="F173" s="3">
        <v>27</v>
      </c>
      <c r="G173" s="3">
        <v>27</v>
      </c>
      <c r="H173" s="3">
        <v>26</v>
      </c>
      <c r="I173" s="3">
        <v>22</v>
      </c>
    </row>
    <row r="174" spans="1:9">
      <c r="A174" s="2" t="s">
        <v>108</v>
      </c>
      <c r="B174" s="3">
        <v>179</v>
      </c>
      <c r="C174" s="3">
        <v>189</v>
      </c>
      <c r="D174" s="3">
        <v>226</v>
      </c>
      <c r="E174" s="3">
        <v>247</v>
      </c>
      <c r="F174" s="3">
        <v>129</v>
      </c>
      <c r="G174" s="3">
        <v>129</v>
      </c>
      <c r="H174" s="3">
        <v>141</v>
      </c>
      <c r="I174" s="3">
        <v>134</v>
      </c>
    </row>
    <row r="175" spans="1:9" ht="15" thickBot="1">
      <c r="A175" s="6" t="s">
        <v>125</v>
      </c>
      <c r="B175" s="7">
        <f t="shared" ref="B175:H175" si="25">+SUM(B172:B174)</f>
        <v>606</v>
      </c>
      <c r="C175" s="7">
        <f t="shared" si="25"/>
        <v>649</v>
      </c>
      <c r="D175" s="7">
        <f t="shared" si="25"/>
        <v>706</v>
      </c>
      <c r="E175" s="7">
        <f t="shared" si="25"/>
        <v>747</v>
      </c>
      <c r="F175" s="7">
        <f t="shared" si="25"/>
        <v>705</v>
      </c>
      <c r="G175" s="7">
        <f t="shared" si="25"/>
        <v>721</v>
      </c>
      <c r="H175" s="7">
        <f t="shared" si="25"/>
        <v>744</v>
      </c>
      <c r="I175" s="7">
        <f>+SUM(I172:I174)</f>
        <v>717</v>
      </c>
    </row>
    <row r="176" spans="1:9" ht="15" thickTop="1">
      <c r="A176" s="12" t="s">
        <v>111</v>
      </c>
      <c r="B176" s="13">
        <f t="shared" ref="B176:H176" si="26">+B175-B66</f>
        <v>0</v>
      </c>
      <c r="C176" s="13">
        <f t="shared" si="26"/>
        <v>0</v>
      </c>
      <c r="D176" s="13">
        <f t="shared" si="26"/>
        <v>0</v>
      </c>
      <c r="E176" s="13">
        <f t="shared" si="26"/>
        <v>0</v>
      </c>
      <c r="F176" s="13">
        <f t="shared" si="26"/>
        <v>0</v>
      </c>
      <c r="G176" s="13">
        <f t="shared" si="26"/>
        <v>0</v>
      </c>
      <c r="H176" s="13">
        <f t="shared" si="26"/>
        <v>0</v>
      </c>
      <c r="I176" s="13">
        <f>+I175-I66</f>
        <v>0</v>
      </c>
    </row>
    <row r="177" spans="1:9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>
      <c r="A178" s="26" t="s">
        <v>127</v>
      </c>
    </row>
    <row r="179" spans="1:9">
      <c r="A179" s="31" t="s">
        <v>100</v>
      </c>
      <c r="B179" s="32"/>
      <c r="C179" s="32">
        <v>7.4499999999999997E-2</v>
      </c>
      <c r="D179" s="32">
        <v>3.0599999999999999E-2</v>
      </c>
      <c r="E179" s="32">
        <v>-2.3699999999999999E-2</v>
      </c>
      <c r="F179" s="32">
        <v>7.0499999999999993E-2</v>
      </c>
      <c r="G179" s="32">
        <v>-8.9200000000000002E-2</v>
      </c>
      <c r="H179" s="32">
        <v>0.18609999999999999</v>
      </c>
      <c r="I179" s="32">
        <v>7.0000000000000007E-2</v>
      </c>
    </row>
    <row r="180" spans="1:9">
      <c r="A180" s="29" t="s">
        <v>113</v>
      </c>
      <c r="B180" s="28"/>
      <c r="C180" s="28">
        <v>9.3200000000000005E-2</v>
      </c>
      <c r="D180" s="28">
        <v>4.1399999999999999E-2</v>
      </c>
      <c r="E180" s="28">
        <v>-3.7400000000000003E-2</v>
      </c>
      <c r="F180" s="28">
        <v>7.7600000000000002E-2</v>
      </c>
      <c r="G180" s="28">
        <v>-7.1300000000000002E-2</v>
      </c>
      <c r="H180" s="28">
        <v>0.248</v>
      </c>
      <c r="I180" s="28">
        <v>0.05</v>
      </c>
    </row>
    <row r="181" spans="1:9">
      <c r="A181" s="29" t="s">
        <v>114</v>
      </c>
      <c r="B181" s="28"/>
      <c r="C181" s="28">
        <v>7.6200000000000004E-2</v>
      </c>
      <c r="D181" s="28">
        <v>2.9499999999999998E-2</v>
      </c>
      <c r="E181" s="28">
        <v>1.06E-2</v>
      </c>
      <c r="F181" s="28">
        <v>6.5199999999999994E-2</v>
      </c>
      <c r="G181" s="28">
        <v>-0.1181</v>
      </c>
      <c r="H181" s="28">
        <v>8.3900000000000002E-2</v>
      </c>
      <c r="I181" s="28">
        <v>0.09</v>
      </c>
    </row>
    <row r="182" spans="1:9">
      <c r="A182" s="29" t="s">
        <v>115</v>
      </c>
      <c r="B182" s="28"/>
      <c r="C182" s="28">
        <v>-0.12740000000000001</v>
      </c>
      <c r="D182" s="28">
        <v>-0.10150000000000001</v>
      </c>
      <c r="E182" s="28">
        <v>-7.8899999999999998E-2</v>
      </c>
      <c r="F182" s="28">
        <v>3.3999999999999998E-3</v>
      </c>
      <c r="G182" s="28">
        <v>-0.13569999999999999</v>
      </c>
      <c r="H182" s="28">
        <v>-1.7399999999999999E-2</v>
      </c>
      <c r="I182" s="28">
        <v>0.25</v>
      </c>
    </row>
    <row r="183" spans="1:9">
      <c r="A183" s="31" t="s">
        <v>101</v>
      </c>
      <c r="B183" s="32"/>
      <c r="C183" s="32">
        <v>6.2E-2</v>
      </c>
      <c r="D183" s="32">
        <v>5.3100000000000001E-2</v>
      </c>
      <c r="E183" s="32">
        <v>0.15959999999999999</v>
      </c>
      <c r="F183" s="32">
        <v>6.1699999999999998E-2</v>
      </c>
      <c r="G183" s="32">
        <v>-4.7E-2</v>
      </c>
      <c r="H183" s="32">
        <v>0.22600000000000001</v>
      </c>
      <c r="I183" s="32">
        <v>0.12</v>
      </c>
    </row>
    <row r="184" spans="1:9">
      <c r="A184" s="29" t="s">
        <v>113</v>
      </c>
      <c r="B184" s="28"/>
      <c r="C184" s="28">
        <v>7.2300000000000003E-2</v>
      </c>
      <c r="D184" s="28">
        <v>2.9499999999999998E-2</v>
      </c>
      <c r="E184" s="28">
        <v>0.13150000000000001</v>
      </c>
      <c r="F184" s="28">
        <v>7.1099999999999997E-2</v>
      </c>
      <c r="G184" s="28">
        <v>-6.3700000000000007E-2</v>
      </c>
      <c r="H184" s="28">
        <v>0.183</v>
      </c>
      <c r="I184" s="28">
        <v>0.09</v>
      </c>
    </row>
    <row r="185" spans="1:9">
      <c r="A185" s="29" t="s">
        <v>114</v>
      </c>
      <c r="B185" s="28"/>
      <c r="C185" s="28">
        <v>4.7800000000000002E-2</v>
      </c>
      <c r="D185" s="28">
        <v>0.1145</v>
      </c>
      <c r="E185" s="28">
        <v>0.2276</v>
      </c>
      <c r="F185" s="28">
        <v>0.05</v>
      </c>
      <c r="G185" s="28">
        <v>-1.0999999999999999E-2</v>
      </c>
      <c r="H185" s="28">
        <v>0.30890000000000001</v>
      </c>
      <c r="I185" s="28">
        <v>0.16</v>
      </c>
    </row>
    <row r="186" spans="1:9">
      <c r="A186" s="29" t="s">
        <v>115</v>
      </c>
      <c r="B186" s="28"/>
      <c r="C186" s="28">
        <v>1.0800000000000001E-2</v>
      </c>
      <c r="D186" s="28">
        <v>1.8599999999999998E-2</v>
      </c>
      <c r="E186" s="28">
        <v>0.1149</v>
      </c>
      <c r="F186" s="28">
        <v>1.17E-2</v>
      </c>
      <c r="G186" s="28">
        <v>-6.9400000000000003E-2</v>
      </c>
      <c r="H186" s="28">
        <v>0.21890000000000001</v>
      </c>
      <c r="I186" s="28">
        <v>0.17</v>
      </c>
    </row>
    <row r="187" spans="1:9">
      <c r="A187" s="31" t="s">
        <v>102</v>
      </c>
      <c r="B187" s="32"/>
      <c r="C187" s="32">
        <v>0.23400000000000001</v>
      </c>
      <c r="D187" s="32">
        <v>0.11899999999999999</v>
      </c>
      <c r="E187" s="32">
        <v>0.21199999999999999</v>
      </c>
      <c r="F187" s="32">
        <v>0.21</v>
      </c>
      <c r="G187" s="32">
        <v>7.5999999999999998E-2</v>
      </c>
      <c r="H187" s="32">
        <v>0.24099999999999999</v>
      </c>
      <c r="I187" s="32">
        <v>-0.13</v>
      </c>
    </row>
    <row r="188" spans="1:9">
      <c r="A188" s="29" t="s">
        <v>113</v>
      </c>
      <c r="B188" s="28"/>
      <c r="C188" s="28">
        <v>0.28920000000000001</v>
      </c>
      <c r="D188" s="28">
        <v>0.1235</v>
      </c>
      <c r="E188" s="28">
        <v>0.1973</v>
      </c>
      <c r="F188" s="28">
        <v>0.21909999999999999</v>
      </c>
      <c r="G188" s="28">
        <v>8.7499999999999994E-2</v>
      </c>
      <c r="H188" s="28">
        <v>0.24010000000000001</v>
      </c>
      <c r="I188" s="28">
        <v>-0.1</v>
      </c>
    </row>
    <row r="189" spans="1:9">
      <c r="A189" s="29" t="s">
        <v>114</v>
      </c>
      <c r="B189" s="28"/>
      <c r="C189" s="28">
        <v>0.14050000000000001</v>
      </c>
      <c r="D189" s="28">
        <v>0.12609999999999999</v>
      </c>
      <c r="E189" s="28">
        <v>0.26939999999999997</v>
      </c>
      <c r="F189" s="28">
        <v>0.19889999999999999</v>
      </c>
      <c r="G189" s="28">
        <v>4.87E-2</v>
      </c>
      <c r="H189" s="28">
        <v>0.2379</v>
      </c>
      <c r="I189" s="28">
        <v>-0.21</v>
      </c>
    </row>
    <row r="190" spans="1:9">
      <c r="A190" s="29" t="s">
        <v>115</v>
      </c>
      <c r="B190" s="28"/>
      <c r="C190" s="28">
        <v>3.9699999999999999E-2</v>
      </c>
      <c r="D190" s="28">
        <v>-1.5299999999999999E-2</v>
      </c>
      <c r="E190" s="28">
        <v>7.7999999999999996E-3</v>
      </c>
      <c r="F190" s="28">
        <v>6.1499999999999999E-2</v>
      </c>
      <c r="G190" s="28">
        <v>7.2499999999999995E-2</v>
      </c>
      <c r="H190" s="28">
        <v>0.31759999999999999</v>
      </c>
      <c r="I190" s="28">
        <v>-0.06</v>
      </c>
    </row>
    <row r="191" spans="1:9">
      <c r="A191" s="31" t="s">
        <v>106</v>
      </c>
      <c r="B191" s="32"/>
      <c r="C191" s="32">
        <v>-7.22E-2</v>
      </c>
      <c r="D191" s="32">
        <v>9.7299999999999998E-2</v>
      </c>
      <c r="E191" s="32">
        <v>0.09</v>
      </c>
      <c r="F191" s="32">
        <v>1.7000000000000001E-2</v>
      </c>
      <c r="G191" s="32">
        <v>-4.2999999999999997E-2</v>
      </c>
      <c r="H191" s="32">
        <v>6.2600000000000003E-2</v>
      </c>
      <c r="I191" s="32">
        <v>0.16</v>
      </c>
    </row>
    <row r="192" spans="1:9">
      <c r="A192" s="29" t="s">
        <v>113</v>
      </c>
      <c r="B192" s="28"/>
      <c r="C192" s="28">
        <v>-5.2699999999999997E-2</v>
      </c>
      <c r="D192" s="28">
        <v>0.1212</v>
      </c>
      <c r="E192" s="28">
        <v>8.8300000000000003E-2</v>
      </c>
      <c r="F192" s="28">
        <v>1.3100000000000001E-2</v>
      </c>
      <c r="G192" s="28">
        <v>-4.7800000000000002E-2</v>
      </c>
      <c r="H192" s="28">
        <v>6.0900000000000003E-2</v>
      </c>
      <c r="I192" s="28">
        <v>0.17</v>
      </c>
    </row>
    <row r="193" spans="1:9">
      <c r="A193" s="29" t="s">
        <v>114</v>
      </c>
      <c r="B193" s="28"/>
      <c r="C193" s="28">
        <v>-0.10639999999999999</v>
      </c>
      <c r="D193" s="28">
        <v>6.0900000000000003E-2</v>
      </c>
      <c r="E193" s="28">
        <v>0.13669999999999999</v>
      </c>
      <c r="F193" s="28">
        <v>3.56E-2</v>
      </c>
      <c r="G193" s="28">
        <v>-2.1499999999999998E-2</v>
      </c>
      <c r="H193" s="28">
        <v>9.4500000000000001E-2</v>
      </c>
      <c r="I193" s="28">
        <v>0.12</v>
      </c>
    </row>
    <row r="194" spans="1:9">
      <c r="A194" s="29" t="s">
        <v>115</v>
      </c>
      <c r="B194" s="28"/>
      <c r="C194" s="28">
        <v>-0.129</v>
      </c>
      <c r="D194" s="28">
        <v>-1.11E-2</v>
      </c>
      <c r="E194" s="28">
        <v>-8.6099999999999996E-2</v>
      </c>
      <c r="F194" s="28">
        <v>-2.87E-2</v>
      </c>
      <c r="G194" s="28">
        <v>-9.7000000000000003E-2</v>
      </c>
      <c r="H194" s="28">
        <v>-0.11210000000000001</v>
      </c>
      <c r="I194" s="28">
        <v>0.28000000000000003</v>
      </c>
    </row>
    <row r="195" spans="1:9">
      <c r="A195" s="31" t="s">
        <v>107</v>
      </c>
      <c r="B195" s="32"/>
      <c r="C195" s="32">
        <v>-0.36520000000000002</v>
      </c>
      <c r="D195" s="32">
        <v>0</v>
      </c>
      <c r="E195" s="32">
        <v>0.20549999999999999</v>
      </c>
      <c r="F195" s="32">
        <v>-0.52270000000000005</v>
      </c>
      <c r="G195" s="32">
        <v>-0.28570000000000001</v>
      </c>
      <c r="H195" s="32">
        <v>-0.16669999999999999</v>
      </c>
      <c r="I195" s="32">
        <v>3.02</v>
      </c>
    </row>
    <row r="196" spans="1:9">
      <c r="A196" s="33" t="s">
        <v>103</v>
      </c>
      <c r="B196" s="35"/>
      <c r="C196" s="35">
        <v>4.43</v>
      </c>
      <c r="D196" s="35">
        <v>6.9400000000000003E-2</v>
      </c>
      <c r="E196" s="35">
        <v>2.3900000000000001E-2</v>
      </c>
      <c r="F196" s="35">
        <v>6.25E-2</v>
      </c>
      <c r="G196" s="35">
        <v>-3.7999999999999999E-2</v>
      </c>
      <c r="H196" s="35">
        <v>0.2016</v>
      </c>
      <c r="I196" s="35">
        <v>0.06</v>
      </c>
    </row>
    <row r="197" spans="1:9">
      <c r="A197" s="31" t="s">
        <v>104</v>
      </c>
      <c r="B197" s="32"/>
      <c r="C197" s="32">
        <v>-1.3599999999999999E-2</v>
      </c>
      <c r="D197" s="32">
        <v>4.4499999999999998E-2</v>
      </c>
      <c r="E197" s="32">
        <v>-7.6399999999999996E-2</v>
      </c>
      <c r="F197" s="32">
        <v>1.06E-2</v>
      </c>
      <c r="G197" s="32">
        <v>-3.15E-2</v>
      </c>
      <c r="H197" s="32">
        <v>0.19450000000000001</v>
      </c>
      <c r="I197" s="32">
        <v>7.0000000000000007E-2</v>
      </c>
    </row>
    <row r="198" spans="1:9">
      <c r="A198" s="29" t="s">
        <v>113</v>
      </c>
      <c r="B198" s="28"/>
      <c r="C198" s="28">
        <v>-1.3599999999999999E-2</v>
      </c>
      <c r="D198" s="28">
        <v>4.4499999999999998E-2</v>
      </c>
      <c r="E198" s="28">
        <v>-7.6399999999999996E-2</v>
      </c>
      <c r="F198" s="28">
        <v>1.06E-2</v>
      </c>
      <c r="G198" s="28">
        <v>-3.15E-2</v>
      </c>
      <c r="H198" s="28">
        <v>0.19450000000000001</v>
      </c>
      <c r="I198" s="28">
        <v>0.06</v>
      </c>
    </row>
    <row r="199" spans="1:9">
      <c r="A199" s="29" t="s">
        <v>114</v>
      </c>
      <c r="B199" s="28"/>
      <c r="C199" s="28">
        <v>-2E-3</v>
      </c>
      <c r="D199" s="28">
        <v>5.6500000000000002E-2</v>
      </c>
      <c r="E199" s="28">
        <v>-5.16E-2</v>
      </c>
      <c r="F199" s="28">
        <v>0</v>
      </c>
      <c r="G199" s="28">
        <v>0</v>
      </c>
      <c r="H199" s="28">
        <v>5.4399999999999997E-2</v>
      </c>
      <c r="I199" s="28">
        <v>-0.03</v>
      </c>
    </row>
    <row r="200" spans="1:9">
      <c r="A200" s="29" t="s">
        <v>115</v>
      </c>
      <c r="B200" s="28"/>
      <c r="C200" s="28">
        <v>-9.5999999999999992E-3</v>
      </c>
      <c r="D200" s="28">
        <v>9.7000000000000003E-3</v>
      </c>
      <c r="E200" s="28">
        <v>0</v>
      </c>
      <c r="F200" s="28">
        <v>0</v>
      </c>
      <c r="G200" s="28">
        <v>0</v>
      </c>
      <c r="H200" s="28">
        <v>-9.5999999999999992E-3</v>
      </c>
      <c r="I200" s="28">
        <v>-0.16</v>
      </c>
    </row>
    <row r="201" spans="1:9">
      <c r="A201" s="29" t="s">
        <v>121</v>
      </c>
      <c r="B201" s="28"/>
      <c r="C201" s="28">
        <v>0.04</v>
      </c>
      <c r="D201" s="28">
        <v>5.7700000000000001E-2</v>
      </c>
      <c r="E201" s="28">
        <v>-5.45E-2</v>
      </c>
      <c r="F201" s="28">
        <v>7.6899999999999996E-2</v>
      </c>
      <c r="G201" s="28">
        <v>-0.125</v>
      </c>
      <c r="H201" s="28">
        <v>0.75509999999999999</v>
      </c>
      <c r="I201" s="28">
        <v>0.42</v>
      </c>
    </row>
    <row r="202" spans="1:9">
      <c r="A202" s="27" t="s">
        <v>108</v>
      </c>
      <c r="B202" s="28"/>
      <c r="C202" s="28">
        <v>4.8800000000000003E-2</v>
      </c>
      <c r="D202" s="28">
        <v>-1.8721000000000001</v>
      </c>
      <c r="E202" s="28">
        <v>-0.65329999999999999</v>
      </c>
      <c r="F202" s="28">
        <v>-1.2692000000000001</v>
      </c>
      <c r="G202" s="28">
        <v>0.57140000000000002</v>
      </c>
      <c r="H202" s="28">
        <v>-4.6364000000000001</v>
      </c>
      <c r="I202" s="28">
        <v>0</v>
      </c>
    </row>
    <row r="203" spans="1:9" ht="15" thickBot="1">
      <c r="A203" s="30" t="s">
        <v>105</v>
      </c>
      <c r="B203" s="34"/>
      <c r="C203" s="34">
        <v>5.8000000000000003E-2</v>
      </c>
      <c r="D203" s="34">
        <v>6.0999999999999999E-2</v>
      </c>
      <c r="E203" s="34">
        <v>5.96E-2</v>
      </c>
      <c r="F203" s="34">
        <v>7.4700000000000003E-2</v>
      </c>
      <c r="G203" s="34">
        <v>-4.3799999999999999E-2</v>
      </c>
      <c r="H203" s="34">
        <v>0.1908</v>
      </c>
      <c r="I203" s="34">
        <v>0.06</v>
      </c>
    </row>
    <row r="204" spans="1:9" ht="15" thickTop="1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1"/>
  <sheetViews>
    <sheetView tabSelected="1" workbookViewId="0">
      <selection activeCell="P70" sqref="P70"/>
    </sheetView>
  </sheetViews>
  <sheetFormatPr defaultRowHeight="14.5"/>
  <cols>
    <col min="1" max="1" width="48.81640625" customWidth="1"/>
    <col min="2" max="14" width="11.81640625" customWidth="1"/>
  </cols>
  <sheetData>
    <row r="1" spans="1:15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5">
      <c r="A3" s="39" t="s">
        <v>139</v>
      </c>
      <c r="B3" s="48">
        <v>30601</v>
      </c>
      <c r="C3" s="48">
        <v>32376</v>
      </c>
      <c r="D3" s="48">
        <v>34350</v>
      </c>
      <c r="E3" s="48">
        <v>36397</v>
      </c>
      <c r="F3" s="48">
        <v>39117</v>
      </c>
      <c r="G3" s="48">
        <v>37403</v>
      </c>
      <c r="H3" s="48">
        <v>44538</v>
      </c>
      <c r="I3" s="48">
        <v>46710</v>
      </c>
      <c r="J3" s="3">
        <f>I3 * (1 + 4.9%)</f>
        <v>48998.789999999994</v>
      </c>
      <c r="K3" s="3">
        <f t="shared" ref="K3:N3" si="2">J3 * (1 + 4.9%)</f>
        <v>51399.730709999989</v>
      </c>
      <c r="L3" s="3">
        <f t="shared" si="2"/>
        <v>53918.317514789982</v>
      </c>
      <c r="M3" s="3">
        <f t="shared" si="2"/>
        <v>56560.315073014688</v>
      </c>
      <c r="N3" s="3">
        <f t="shared" si="2"/>
        <v>59331.770511592404</v>
      </c>
      <c r="O3" t="s">
        <v>144</v>
      </c>
    </row>
    <row r="4" spans="1:15">
      <c r="A4" s="40" t="s">
        <v>129</v>
      </c>
      <c r="B4" s="45" t="str">
        <f t="shared" ref="B4:H4" si="3">+IFERROR(B3/A3-1,"nm")</f>
        <v>nm</v>
      </c>
      <c r="C4" s="45">
        <f t="shared" si="3"/>
        <v>5.8004640371229765E-2</v>
      </c>
      <c r="D4" s="45">
        <f t="shared" si="3"/>
        <v>6.0971089696071123E-2</v>
      </c>
      <c r="E4" s="45">
        <f t="shared" si="3"/>
        <v>5.95924308588065E-2</v>
      </c>
      <c r="F4" s="45">
        <f t="shared" si="3"/>
        <v>7.4731433909388079E-2</v>
      </c>
      <c r="G4" s="45">
        <f t="shared" si="3"/>
        <v>-4.3817266150267153E-2</v>
      </c>
      <c r="H4" s="45">
        <f t="shared" si="3"/>
        <v>0.19076009945726269</v>
      </c>
      <c r="I4" s="45">
        <f>+IFERROR(I3/H3-1,"nm")</f>
        <v>4.8767344739323759E-2</v>
      </c>
      <c r="J4" s="45">
        <f t="shared" ref="J4:N4" si="4">+IFERROR(J3/I3-1,"nm")</f>
        <v>4.8999999999999932E-2</v>
      </c>
      <c r="K4" s="45">
        <f t="shared" si="4"/>
        <v>4.8999999999999932E-2</v>
      </c>
      <c r="L4" s="45">
        <f t="shared" si="4"/>
        <v>4.8999999999999932E-2</v>
      </c>
      <c r="M4" s="45">
        <f t="shared" si="4"/>
        <v>4.8999999999999932E-2</v>
      </c>
      <c r="N4" s="45">
        <f t="shared" si="4"/>
        <v>4.8999999999999932E-2</v>
      </c>
    </row>
    <row r="5" spans="1:15">
      <c r="A5" s="39" t="s">
        <v>130</v>
      </c>
      <c r="B5" s="49">
        <v>4175</v>
      </c>
      <c r="C5" s="48">
        <v>4502</v>
      </c>
      <c r="D5" s="48">
        <v>4749</v>
      </c>
      <c r="E5" s="48">
        <v>4445</v>
      </c>
      <c r="F5" s="48">
        <v>4772</v>
      </c>
      <c r="G5" s="48">
        <v>3115</v>
      </c>
      <c r="H5" s="48">
        <v>6937</v>
      </c>
      <c r="I5" s="48">
        <v>6675</v>
      </c>
      <c r="J5" s="57">
        <f>I5 * (1 + -3.8%)</f>
        <v>6421.3499999999995</v>
      </c>
      <c r="K5" s="57">
        <f t="shared" ref="K5:N5" si="5">J5 * (1 + -3.8%)</f>
        <v>6177.3386999999993</v>
      </c>
      <c r="L5" s="57">
        <f t="shared" si="5"/>
        <v>5942.5998293999992</v>
      </c>
      <c r="M5" s="57">
        <f t="shared" si="5"/>
        <v>5716.7810358827992</v>
      </c>
      <c r="N5" s="57">
        <f t="shared" si="5"/>
        <v>5499.5433565192525</v>
      </c>
      <c r="O5" t="s">
        <v>145</v>
      </c>
    </row>
    <row r="6" spans="1:15">
      <c r="A6" s="40" t="s">
        <v>129</v>
      </c>
      <c r="B6" s="45" t="str">
        <f t="shared" ref="B6:H6" si="6">+IFERROR(B5/A5-1,"nm")</f>
        <v>nm</v>
      </c>
      <c r="C6" s="45">
        <f t="shared" si="6"/>
        <v>7.8323353293413112E-2</v>
      </c>
      <c r="D6" s="45">
        <f t="shared" si="6"/>
        <v>5.4864504664593472E-2</v>
      </c>
      <c r="E6" s="45">
        <f t="shared" si="6"/>
        <v>-6.4013476521372903E-2</v>
      </c>
      <c r="F6" s="45">
        <f t="shared" si="6"/>
        <v>7.3565804274465796E-2</v>
      </c>
      <c r="G6" s="45">
        <f t="shared" si="6"/>
        <v>-0.34723386420787927</v>
      </c>
      <c r="H6" s="45">
        <f t="shared" si="6"/>
        <v>1.2269662921348314</v>
      </c>
      <c r="I6" s="45">
        <f>+IFERROR(I5/H5-1,"nm")</f>
        <v>-3.7768487818941932E-2</v>
      </c>
      <c r="J6" s="45">
        <f t="shared" ref="J6:N6" si="7">+IFERROR(J5/I5-1,"nm")</f>
        <v>-3.8000000000000034E-2</v>
      </c>
      <c r="K6" s="45">
        <f t="shared" si="7"/>
        <v>-3.8000000000000034E-2</v>
      </c>
      <c r="L6" s="45">
        <f t="shared" si="7"/>
        <v>-3.8000000000000034E-2</v>
      </c>
      <c r="M6" s="45">
        <f t="shared" si="7"/>
        <v>-3.8000000000000034E-2</v>
      </c>
      <c r="N6" s="45">
        <f t="shared" si="7"/>
        <v>-3.8000000000000034E-2</v>
      </c>
    </row>
    <row r="7" spans="1:15">
      <c r="A7" s="40" t="s">
        <v>131</v>
      </c>
      <c r="B7" s="45">
        <f>+IFERROR(B5/B$3,"nm")</f>
        <v>0.13643344988725858</v>
      </c>
      <c r="C7" s="45">
        <f t="shared" ref="C7:I7" si="8">+IFERROR(C5/C$3,"nm")</f>
        <v>0.13905361996540647</v>
      </c>
      <c r="D7" s="45">
        <f t="shared" si="8"/>
        <v>0.13825327510917029</v>
      </c>
      <c r="E7" s="45">
        <f t="shared" si="8"/>
        <v>0.12212544989971701</v>
      </c>
      <c r="F7" s="45">
        <f t="shared" si="8"/>
        <v>0.12199299537285579</v>
      </c>
      <c r="G7" s="45">
        <f t="shared" si="8"/>
        <v>8.3282089671951443E-2</v>
      </c>
      <c r="H7" s="45">
        <f t="shared" si="8"/>
        <v>0.15575463649018814</v>
      </c>
      <c r="I7" s="45">
        <f t="shared" si="8"/>
        <v>0.14290301862556198</v>
      </c>
      <c r="J7" s="45">
        <f t="shared" ref="J7:N7" si="9">+IFERROR(J5/J$3,"nm")</f>
        <v>0.13105119534584425</v>
      </c>
      <c r="K7" s="45">
        <f t="shared" si="9"/>
        <v>0.12018231641820989</v>
      </c>
      <c r="L7" s="45">
        <f t="shared" si="9"/>
        <v>0.11021486024243846</v>
      </c>
      <c r="M7" s="45">
        <f t="shared" si="9"/>
        <v>0.10107406630431438</v>
      </c>
      <c r="N7" s="45">
        <f t="shared" si="9"/>
        <v>9.2691374437321686E-2</v>
      </c>
    </row>
    <row r="8" spans="1:15">
      <c r="A8" s="39" t="s">
        <v>132</v>
      </c>
      <c r="B8" s="49">
        <v>649</v>
      </c>
      <c r="C8" s="48">
        <v>706</v>
      </c>
      <c r="D8" s="48">
        <v>774</v>
      </c>
      <c r="E8" s="48">
        <v>720</v>
      </c>
      <c r="F8" s="48">
        <v>1100</v>
      </c>
      <c r="G8" s="48">
        <v>797</v>
      </c>
      <c r="H8" s="48">
        <v>916</v>
      </c>
      <c r="I8" s="48">
        <v>852</v>
      </c>
      <c r="J8" s="57">
        <f>I8 * (1 + -7%)</f>
        <v>792.3599999999999</v>
      </c>
      <c r="K8" s="57">
        <f t="shared" ref="K8:N8" si="10">J8 * (1 + -7%)</f>
        <v>736.8947999999998</v>
      </c>
      <c r="L8" s="57">
        <f t="shared" si="10"/>
        <v>685.31216399999983</v>
      </c>
      <c r="M8" s="57">
        <f t="shared" si="10"/>
        <v>637.34031251999977</v>
      </c>
      <c r="N8" s="57">
        <f t="shared" si="10"/>
        <v>592.72649064359973</v>
      </c>
      <c r="O8" t="s">
        <v>146</v>
      </c>
    </row>
    <row r="9" spans="1:15">
      <c r="A9" s="40" t="s">
        <v>129</v>
      </c>
      <c r="B9" s="45" t="str">
        <f t="shared" ref="B9:H9" si="11">+IFERROR(B8/A8-1,"nm")</f>
        <v>nm</v>
      </c>
      <c r="C9" s="45">
        <f t="shared" si="11"/>
        <v>8.7827426810477727E-2</v>
      </c>
      <c r="D9" s="45">
        <f t="shared" si="11"/>
        <v>9.6317280453257714E-2</v>
      </c>
      <c r="E9" s="45">
        <f t="shared" si="11"/>
        <v>-6.9767441860465129E-2</v>
      </c>
      <c r="F9" s="45">
        <f t="shared" si="11"/>
        <v>0.52777777777777768</v>
      </c>
      <c r="G9" s="45">
        <f t="shared" si="11"/>
        <v>-0.27545454545454551</v>
      </c>
      <c r="H9" s="45">
        <f t="shared" si="11"/>
        <v>0.14930991217063982</v>
      </c>
      <c r="I9" s="45">
        <f>+IFERROR(I8/H8-1,"nm")</f>
        <v>-6.9868995633187825E-2</v>
      </c>
      <c r="J9" s="45">
        <f t="shared" ref="J9:N9" si="12">+IFERROR(J8/I8-1,"nm")</f>
        <v>-7.0000000000000062E-2</v>
      </c>
      <c r="K9" s="45">
        <f t="shared" si="12"/>
        <v>-7.0000000000000173E-2</v>
      </c>
      <c r="L9" s="45">
        <f t="shared" si="12"/>
        <v>-6.9999999999999951E-2</v>
      </c>
      <c r="M9" s="45">
        <f t="shared" si="12"/>
        <v>-7.0000000000000062E-2</v>
      </c>
      <c r="N9" s="45">
        <f t="shared" si="12"/>
        <v>-7.0000000000000062E-2</v>
      </c>
    </row>
    <row r="10" spans="1:15">
      <c r="A10" s="40" t="s">
        <v>133</v>
      </c>
      <c r="B10" s="45">
        <f>+IFERROR(B8/B$3,"nm")</f>
        <v>2.1208457239959479E-2</v>
      </c>
      <c r="C10" s="45">
        <f t="shared" ref="C10:I10" si="13">+IFERROR(C8/C$3,"nm")</f>
        <v>2.1806276254015319E-2</v>
      </c>
      <c r="D10" s="45">
        <f t="shared" si="13"/>
        <v>2.2532751091703055E-2</v>
      </c>
      <c r="E10" s="45">
        <f t="shared" si="13"/>
        <v>1.9781850152485094E-2</v>
      </c>
      <c r="F10" s="45">
        <f t="shared" si="13"/>
        <v>2.8120765907405986E-2</v>
      </c>
      <c r="G10" s="45">
        <f t="shared" si="13"/>
        <v>2.1308451193754512E-2</v>
      </c>
      <c r="H10" s="45">
        <f t="shared" si="13"/>
        <v>2.0566707081593246E-2</v>
      </c>
      <c r="I10" s="45">
        <f t="shared" si="13"/>
        <v>1.8240205523442517E-2</v>
      </c>
      <c r="J10" s="45">
        <f t="shared" ref="J10:N10" si="14">+IFERROR(J8/J$3,"nm")</f>
        <v>1.6171011569877543E-2</v>
      </c>
      <c r="K10" s="45">
        <f t="shared" si="14"/>
        <v>1.4336549818861882E-2</v>
      </c>
      <c r="L10" s="45">
        <f t="shared" si="14"/>
        <v>1.2710191927113014E-2</v>
      </c>
      <c r="M10" s="45">
        <f t="shared" si="14"/>
        <v>1.1268330307164063E-2</v>
      </c>
      <c r="N10" s="45">
        <f t="shared" si="14"/>
        <v>9.9900354486773865E-3</v>
      </c>
    </row>
    <row r="11" spans="1:15">
      <c r="A11" s="39" t="s">
        <v>134</v>
      </c>
      <c r="B11" s="49">
        <v>4175</v>
      </c>
      <c r="C11" s="48">
        <v>4502</v>
      </c>
      <c r="D11" s="48">
        <v>4749</v>
      </c>
      <c r="E11" s="48">
        <v>4445</v>
      </c>
      <c r="F11" s="48">
        <v>4772</v>
      </c>
      <c r="G11" s="48">
        <v>3115</v>
      </c>
      <c r="H11" s="48">
        <v>6937</v>
      </c>
      <c r="I11" s="48">
        <v>6675</v>
      </c>
      <c r="J11" s="57">
        <f>I11 * (1 + -3.8%)</f>
        <v>6421.3499999999995</v>
      </c>
      <c r="K11" s="57">
        <f t="shared" ref="K11:N11" si="15">J11 * (1 + -3.8%)</f>
        <v>6177.3386999999993</v>
      </c>
      <c r="L11" s="57">
        <f t="shared" si="15"/>
        <v>5942.5998293999992</v>
      </c>
      <c r="M11" s="57">
        <f t="shared" si="15"/>
        <v>5716.7810358827992</v>
      </c>
      <c r="N11" s="57">
        <f t="shared" si="15"/>
        <v>5499.5433565192525</v>
      </c>
      <c r="O11" t="s">
        <v>147</v>
      </c>
    </row>
    <row r="12" spans="1:15">
      <c r="A12" s="40" t="s">
        <v>129</v>
      </c>
      <c r="B12" s="45" t="str">
        <f t="shared" ref="B12:H12" si="16">+IFERROR(B11/A11-1,"nm")</f>
        <v>nm</v>
      </c>
      <c r="C12" s="45">
        <f t="shared" si="16"/>
        <v>7.8323353293413112E-2</v>
      </c>
      <c r="D12" s="45">
        <f t="shared" si="16"/>
        <v>5.4864504664593472E-2</v>
      </c>
      <c r="E12" s="45">
        <f t="shared" si="16"/>
        <v>-6.4013476521372903E-2</v>
      </c>
      <c r="F12" s="45">
        <f t="shared" si="16"/>
        <v>7.3565804274465796E-2</v>
      </c>
      <c r="G12" s="45">
        <f t="shared" si="16"/>
        <v>-0.34723386420787927</v>
      </c>
      <c r="H12" s="45">
        <f t="shared" si="16"/>
        <v>1.2269662921348314</v>
      </c>
      <c r="I12" s="45">
        <f>+IFERROR(I11/H11-1,"nm")</f>
        <v>-3.7768487818941932E-2</v>
      </c>
      <c r="J12" s="45">
        <f t="shared" ref="J12:N12" si="17">+IFERROR(J11/I11-1,"nm")</f>
        <v>-3.8000000000000034E-2</v>
      </c>
      <c r="K12" s="45">
        <f t="shared" si="17"/>
        <v>-3.8000000000000034E-2</v>
      </c>
      <c r="L12" s="45">
        <f t="shared" si="17"/>
        <v>-3.8000000000000034E-2</v>
      </c>
      <c r="M12" s="45">
        <f t="shared" si="17"/>
        <v>-3.8000000000000034E-2</v>
      </c>
      <c r="N12" s="45">
        <f t="shared" si="17"/>
        <v>-3.8000000000000034E-2</v>
      </c>
    </row>
    <row r="13" spans="1:15">
      <c r="A13" s="40" t="s">
        <v>131</v>
      </c>
      <c r="B13" s="45">
        <f>+IFERROR(B11/B$3,"nm")</f>
        <v>0.13643344988725858</v>
      </c>
      <c r="C13" s="45">
        <f t="shared" ref="C13:I13" si="18">+IFERROR(C11/C$3,"nm")</f>
        <v>0.13905361996540647</v>
      </c>
      <c r="D13" s="45">
        <f t="shared" si="18"/>
        <v>0.13825327510917029</v>
      </c>
      <c r="E13" s="45">
        <f t="shared" si="18"/>
        <v>0.12212544989971701</v>
      </c>
      <c r="F13" s="45">
        <f t="shared" si="18"/>
        <v>0.12199299537285579</v>
      </c>
      <c r="G13" s="45">
        <f t="shared" si="18"/>
        <v>8.3282089671951443E-2</v>
      </c>
      <c r="H13" s="45">
        <f t="shared" si="18"/>
        <v>0.15575463649018814</v>
      </c>
      <c r="I13" s="45">
        <f t="shared" si="18"/>
        <v>0.14290301862556198</v>
      </c>
      <c r="J13" s="45">
        <f t="shared" ref="J13:N13" si="19">+IFERROR(J11/J$3,"nm")</f>
        <v>0.13105119534584425</v>
      </c>
      <c r="K13" s="45">
        <f t="shared" si="19"/>
        <v>0.12018231641820989</v>
      </c>
      <c r="L13" s="45">
        <f t="shared" si="19"/>
        <v>0.11021486024243846</v>
      </c>
      <c r="M13" s="45">
        <f t="shared" si="19"/>
        <v>0.10107406630431438</v>
      </c>
      <c r="N13" s="45">
        <f t="shared" si="19"/>
        <v>9.2691374437321686E-2</v>
      </c>
    </row>
    <row r="14" spans="1:15">
      <c r="A14" s="39" t="s">
        <v>135</v>
      </c>
      <c r="B14" s="49">
        <v>700</v>
      </c>
      <c r="C14" s="48">
        <v>750</v>
      </c>
      <c r="D14" s="48">
        <v>800</v>
      </c>
      <c r="E14" s="48">
        <v>850</v>
      </c>
      <c r="F14" s="48">
        <v>900</v>
      </c>
      <c r="G14" s="48">
        <v>850</v>
      </c>
      <c r="H14" s="48">
        <v>812</v>
      </c>
      <c r="I14" s="48">
        <v>812</v>
      </c>
      <c r="J14" s="57">
        <f>I14</f>
        <v>812</v>
      </c>
      <c r="K14" s="57">
        <f t="shared" ref="K14:N14" si="20">J14</f>
        <v>812</v>
      </c>
      <c r="L14" s="57">
        <f t="shared" si="20"/>
        <v>812</v>
      </c>
      <c r="M14" s="57">
        <f t="shared" si="20"/>
        <v>812</v>
      </c>
      <c r="N14" s="57">
        <f t="shared" si="20"/>
        <v>812</v>
      </c>
      <c r="O14" t="s">
        <v>148</v>
      </c>
    </row>
    <row r="15" spans="1:15">
      <c r="A15" s="40" t="s">
        <v>129</v>
      </c>
      <c r="B15" s="45" t="str">
        <f t="shared" ref="B15:H15" si="21">+IFERROR(B14/A14-1,"nm")</f>
        <v>nm</v>
      </c>
      <c r="C15" s="45">
        <f t="shared" si="21"/>
        <v>7.1428571428571397E-2</v>
      </c>
      <c r="D15" s="45">
        <f t="shared" si="21"/>
        <v>6.6666666666666652E-2</v>
      </c>
      <c r="E15" s="45">
        <f t="shared" si="21"/>
        <v>6.25E-2</v>
      </c>
      <c r="F15" s="45">
        <f t="shared" si="21"/>
        <v>5.8823529411764719E-2</v>
      </c>
      <c r="G15" s="45">
        <f t="shared" si="21"/>
        <v>-5.555555555555558E-2</v>
      </c>
      <c r="H15" s="45">
        <f t="shared" si="21"/>
        <v>-4.4705882352941151E-2</v>
      </c>
      <c r="I15" s="45">
        <f>+IFERROR(I14/H14-1,"nm")</f>
        <v>0</v>
      </c>
      <c r="J15" s="45">
        <f t="shared" ref="J15:N15" si="22">+IFERROR(J14/I14-1,"nm")</f>
        <v>0</v>
      </c>
      <c r="K15" s="45">
        <f t="shared" si="22"/>
        <v>0</v>
      </c>
      <c r="L15" s="45">
        <f t="shared" si="22"/>
        <v>0</v>
      </c>
      <c r="M15" s="45">
        <f t="shared" si="22"/>
        <v>0</v>
      </c>
      <c r="N15" s="45">
        <f t="shared" si="22"/>
        <v>0</v>
      </c>
    </row>
    <row r="16" spans="1:15">
      <c r="A16" s="40" t="s">
        <v>133</v>
      </c>
      <c r="B16" s="45">
        <f>+IFERROR(B14/B$3,"nm")</f>
        <v>2.2875069442175093E-2</v>
      </c>
      <c r="C16" s="45">
        <f t="shared" ref="C16:I16" si="23">+IFERROR(C14/C$3,"nm")</f>
        <v>2.3165307635285397E-2</v>
      </c>
      <c r="D16" s="45">
        <f t="shared" si="23"/>
        <v>2.3289665211062592E-2</v>
      </c>
      <c r="E16" s="45">
        <f t="shared" si="23"/>
        <v>2.3353573096683792E-2</v>
      </c>
      <c r="F16" s="45">
        <f t="shared" si="23"/>
        <v>2.3007899378786716E-2</v>
      </c>
      <c r="G16" s="45">
        <f t="shared" si="23"/>
        <v>2.272544983022752E-2</v>
      </c>
      <c r="H16" s="45">
        <f t="shared" si="23"/>
        <v>1.8231622434774799E-2</v>
      </c>
      <c r="I16" s="45">
        <f t="shared" si="23"/>
        <v>1.7383857846285593E-2</v>
      </c>
      <c r="J16" s="45">
        <f t="shared" ref="J16:N16" si="24">+IFERROR(J14/J$3,"nm")</f>
        <v>1.6571837794361863E-2</v>
      </c>
      <c r="K16" s="45">
        <f t="shared" si="24"/>
        <v>1.5797748135711977E-2</v>
      </c>
      <c r="L16" s="45">
        <f t="shared" si="24"/>
        <v>1.5059817097914185E-2</v>
      </c>
      <c r="M16" s="45">
        <f t="shared" si="24"/>
        <v>1.4356355670080253E-2</v>
      </c>
      <c r="N16" s="45">
        <f t="shared" si="24"/>
        <v>1.3685753736968783E-2</v>
      </c>
    </row>
    <row r="17" spans="1:15">
      <c r="A17" s="9" t="s">
        <v>143</v>
      </c>
      <c r="B17" s="8">
        <f>+Historicals!B153</f>
        <v>3011</v>
      </c>
      <c r="C17" s="8">
        <f>+Historicals!C153</f>
        <v>3520</v>
      </c>
      <c r="D17" s="8">
        <f>+Historicals!D153</f>
        <v>3989</v>
      </c>
      <c r="E17" s="8">
        <f>+Historicals!E153</f>
        <v>4454</v>
      </c>
      <c r="F17" s="8">
        <f>+Historicals!F153</f>
        <v>4744</v>
      </c>
      <c r="G17" s="8">
        <f>+Historicals!G153</f>
        <v>4866</v>
      </c>
      <c r="H17" s="8">
        <f>+Historicals!H153</f>
        <v>4904</v>
      </c>
      <c r="I17" s="8">
        <f>+Historicals!I153</f>
        <v>4791</v>
      </c>
      <c r="J17" s="57">
        <f>I17* (1 + -2.3%)</f>
        <v>4680.8069999999998</v>
      </c>
      <c r="K17" s="57">
        <f t="shared" ref="K17:N17" si="25">J17* (1 + -2.3%)</f>
        <v>4573.1484389999996</v>
      </c>
      <c r="L17" s="57">
        <f t="shared" si="25"/>
        <v>4467.9660249029994</v>
      </c>
      <c r="M17" s="57">
        <f t="shared" si="25"/>
        <v>4365.2028063302305</v>
      </c>
      <c r="N17" s="57">
        <f t="shared" si="25"/>
        <v>4264.803141784635</v>
      </c>
      <c r="O17" t="s">
        <v>149</v>
      </c>
    </row>
    <row r="18" spans="1:15">
      <c r="A18" s="40" t="s">
        <v>129</v>
      </c>
      <c r="B18" s="45" t="str">
        <f t="shared" ref="B18:H18" si="26">+IFERROR(B17/A17-1,"nm")</f>
        <v>nm</v>
      </c>
      <c r="C18" s="45">
        <f t="shared" si="26"/>
        <v>0.16904682829624718</v>
      </c>
      <c r="D18" s="45">
        <f t="shared" si="26"/>
        <v>0.13323863636363642</v>
      </c>
      <c r="E18" s="45">
        <f t="shared" si="26"/>
        <v>0.11657056906492858</v>
      </c>
      <c r="F18" s="45">
        <f t="shared" si="26"/>
        <v>6.5110013471037176E-2</v>
      </c>
      <c r="G18" s="45">
        <f t="shared" si="26"/>
        <v>2.5716694772343951E-2</v>
      </c>
      <c r="H18" s="45">
        <f t="shared" si="26"/>
        <v>7.8092889436909285E-3</v>
      </c>
      <c r="I18" s="45">
        <f>+IFERROR(I17/H17-1,"nm")</f>
        <v>-2.3042414355628038E-2</v>
      </c>
      <c r="J18" s="45">
        <f t="shared" ref="J18:N18" si="27">+IFERROR(J17/I17-1,"nm")</f>
        <v>-2.300000000000002E-2</v>
      </c>
      <c r="K18" s="45">
        <f t="shared" si="27"/>
        <v>-2.300000000000002E-2</v>
      </c>
      <c r="L18" s="45">
        <f t="shared" si="27"/>
        <v>-2.300000000000002E-2</v>
      </c>
      <c r="M18" s="45">
        <f t="shared" si="27"/>
        <v>-2.300000000000002E-2</v>
      </c>
      <c r="N18" s="45">
        <f t="shared" si="27"/>
        <v>-2.300000000000002E-2</v>
      </c>
    </row>
    <row r="19" spans="1:15">
      <c r="A19" s="40" t="s">
        <v>133</v>
      </c>
      <c r="B19" s="45">
        <f>+IFERROR(B17/B$3,"nm")</f>
        <v>9.8395477271984569E-2</v>
      </c>
      <c r="C19" s="45">
        <f t="shared" ref="C19:I19" si="28">+IFERROR(C17/C$3,"nm")</f>
        <v>0.10872251050160613</v>
      </c>
      <c r="D19" s="45">
        <f t="shared" si="28"/>
        <v>0.11612809315866085</v>
      </c>
      <c r="E19" s="45">
        <f t="shared" si="28"/>
        <v>0.12237272302662307</v>
      </c>
      <c r="F19" s="45">
        <f t="shared" si="28"/>
        <v>0.1212771940588491</v>
      </c>
      <c r="G19" s="45">
        <f t="shared" si="28"/>
        <v>0.13009651632222013</v>
      </c>
      <c r="H19" s="45">
        <f t="shared" si="28"/>
        <v>0.11010822219228523</v>
      </c>
      <c r="I19" s="45">
        <f t="shared" si="28"/>
        <v>0.10256904303147078</v>
      </c>
      <c r="J19" s="45">
        <f t="shared" ref="J19:N19" si="29">+IFERROR(J17/J$3,"nm")</f>
        <v>9.5529032451617688E-2</v>
      </c>
      <c r="K19" s="45">
        <f t="shared" si="29"/>
        <v>8.8972225648456138E-2</v>
      </c>
      <c r="L19" s="45">
        <f t="shared" si="29"/>
        <v>8.2865457062480122E-2</v>
      </c>
      <c r="M19" s="45">
        <f t="shared" si="29"/>
        <v>7.7177837511957184E-2</v>
      </c>
      <c r="N19" s="45">
        <f t="shared" si="29"/>
        <v>7.188059794964935E-2</v>
      </c>
    </row>
    <row r="20" spans="1:15">
      <c r="A20" s="41" t="str">
        <f>+Historicals!A107</f>
        <v>North America</v>
      </c>
      <c r="B20" s="41"/>
      <c r="C20" s="41"/>
      <c r="D20" s="41"/>
      <c r="E20" s="41"/>
      <c r="F20" s="41"/>
      <c r="G20" s="41"/>
      <c r="H20" s="41"/>
      <c r="I20" s="41"/>
      <c r="J20" s="37"/>
      <c r="K20" s="37"/>
      <c r="L20" s="37"/>
      <c r="M20" s="37"/>
      <c r="N20" s="37"/>
    </row>
    <row r="21" spans="1:15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I21 * (1 + 6.8%)</f>
        <v>19601.004000000001</v>
      </c>
      <c r="K21" s="9">
        <f t="shared" ref="K21:N21" si="30">J21 * (1 + 6.8%)</f>
        <v>20933.872272000001</v>
      </c>
      <c r="L21" s="9">
        <f t="shared" si="30"/>
        <v>22357.375586496</v>
      </c>
      <c r="M21" s="9">
        <f t="shared" si="30"/>
        <v>23877.67712637773</v>
      </c>
      <c r="N21" s="9">
        <f t="shared" si="30"/>
        <v>25501.359170971416</v>
      </c>
    </row>
    <row r="22" spans="1:15">
      <c r="A22" s="42" t="s">
        <v>129</v>
      </c>
      <c r="B22" s="45" t="str">
        <f t="shared" ref="B22:H22" si="31">+IFERROR(B21/A21-1,"nm")</f>
        <v>nm</v>
      </c>
      <c r="C22" s="45">
        <f t="shared" si="31"/>
        <v>7.4526928675400228E-2</v>
      </c>
      <c r="D22" s="45">
        <f t="shared" si="31"/>
        <v>3.0615009482525046E-2</v>
      </c>
      <c r="E22" s="45">
        <f t="shared" si="31"/>
        <v>-2.372502628811779E-2</v>
      </c>
      <c r="F22" s="45">
        <f t="shared" si="31"/>
        <v>7.0481319421070276E-2</v>
      </c>
      <c r="G22" s="45">
        <f t="shared" si="31"/>
        <v>-8.9171173437303519E-2</v>
      </c>
      <c r="H22" s="45">
        <f t="shared" si="31"/>
        <v>0.18606738470035911</v>
      </c>
      <c r="I22" s="45">
        <f>+IFERROR(I21/H21-1,"nm")</f>
        <v>6.8339251411607238E-2</v>
      </c>
      <c r="J22" s="45">
        <f t="shared" ref="J22:N22" si="32">+IFERROR(J21/I21-1,"nm")</f>
        <v>6.800000000000006E-2</v>
      </c>
      <c r="K22" s="45">
        <f t="shared" si="32"/>
        <v>6.800000000000006E-2</v>
      </c>
      <c r="L22" s="45">
        <f t="shared" si="32"/>
        <v>6.800000000000006E-2</v>
      </c>
      <c r="M22" s="45">
        <f t="shared" si="32"/>
        <v>6.800000000000006E-2</v>
      </c>
      <c r="N22" s="45">
        <f t="shared" si="32"/>
        <v>6.800000000000006E-2</v>
      </c>
    </row>
    <row r="23" spans="1:15">
      <c r="A23" s="43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I23 * (1 + 5%)</f>
        <v>12839.4</v>
      </c>
      <c r="K23" s="3">
        <f t="shared" ref="K23:N23" si="33">J23 * (1 + 5%)</f>
        <v>13481.37</v>
      </c>
      <c r="L23" s="3">
        <f t="shared" si="33"/>
        <v>14155.438500000002</v>
      </c>
      <c r="M23" s="3">
        <f t="shared" si="33"/>
        <v>14863.210425000003</v>
      </c>
      <c r="N23" s="3">
        <f t="shared" si="33"/>
        <v>15606.370946250005</v>
      </c>
    </row>
    <row r="24" spans="1:15">
      <c r="A24" s="42" t="s">
        <v>129</v>
      </c>
      <c r="B24" s="45" t="str">
        <f t="shared" ref="B24" si="34">+IFERROR(B23/A23-1,"nm")</f>
        <v>nm</v>
      </c>
      <c r="C24" s="45">
        <f t="shared" ref="C24" si="35">+IFERROR(C23/B23-1,"nm")</f>
        <v>9.3228309428638578E-2</v>
      </c>
      <c r="D24" s="45">
        <f t="shared" ref="D24" si="36">+IFERROR(D23/C23-1,"nm")</f>
        <v>4.1402301322722934E-2</v>
      </c>
      <c r="E24" s="45">
        <f t="shared" ref="E24" si="37">+IFERROR(E23/D23-1,"nm")</f>
        <v>-3.7381247418422192E-2</v>
      </c>
      <c r="F24" s="45">
        <f t="shared" ref="F24" si="38">+IFERROR(F23/E23-1,"nm")</f>
        <v>7.755846384895948E-2</v>
      </c>
      <c r="G24" s="45">
        <f t="shared" ref="G24" si="39">+IFERROR(G23/F23-1,"nm")</f>
        <v>-7.1279243404678949E-2</v>
      </c>
      <c r="H24" s="45">
        <f t="shared" ref="H24" si="40">+IFERROR(H23/G23-1,"nm")</f>
        <v>0.24815092721620746</v>
      </c>
      <c r="I24" s="45">
        <f>+IFERROR(I23/H23-1,"nm")</f>
        <v>5.0154586052902683E-2</v>
      </c>
      <c r="J24" s="45">
        <f>+J25+J26</f>
        <v>0</v>
      </c>
      <c r="K24" s="45">
        <f t="shared" ref="K24:N24" si="41">+K25+K26</f>
        <v>0</v>
      </c>
      <c r="L24" s="45">
        <f t="shared" si="41"/>
        <v>0</v>
      </c>
      <c r="M24" s="45">
        <f t="shared" si="41"/>
        <v>0</v>
      </c>
      <c r="N24" s="45">
        <f t="shared" si="41"/>
        <v>0</v>
      </c>
    </row>
    <row r="25" spans="1:15">
      <c r="A25" s="42" t="s">
        <v>137</v>
      </c>
      <c r="B25" s="45">
        <f>+Historicals!B180</f>
        <v>0</v>
      </c>
      <c r="C25" s="45">
        <f>+Historicals!C180</f>
        <v>9.3200000000000005E-2</v>
      </c>
      <c r="D25" s="45">
        <f>+Historicals!D180</f>
        <v>4.1399999999999999E-2</v>
      </c>
      <c r="E25" s="45">
        <f>+Historicals!E180</f>
        <v>-3.7400000000000003E-2</v>
      </c>
      <c r="F25" s="45">
        <f>+Historicals!F180</f>
        <v>7.7600000000000002E-2</v>
      </c>
      <c r="G25" s="45">
        <f>+Historicals!G180</f>
        <v>-7.1300000000000002E-2</v>
      </c>
      <c r="H25" s="45">
        <f>+Historicals!H180</f>
        <v>0.248</v>
      </c>
      <c r="I25" s="45">
        <f>+Historicals!I180</f>
        <v>0.05</v>
      </c>
      <c r="J25" s="47">
        <v>0</v>
      </c>
      <c r="K25" s="47">
        <f t="shared" ref="K25:N26" si="42">+J25</f>
        <v>0</v>
      </c>
      <c r="L25" s="47">
        <f t="shared" si="42"/>
        <v>0</v>
      </c>
      <c r="M25" s="47">
        <f t="shared" si="42"/>
        <v>0</v>
      </c>
      <c r="N25" s="47">
        <f t="shared" si="42"/>
        <v>0</v>
      </c>
    </row>
    <row r="26" spans="1:15">
      <c r="A26" s="42" t="s">
        <v>138</v>
      </c>
      <c r="B26" s="45" t="str">
        <f t="shared" ref="B26:H26" si="43">+IFERROR(B24-B25,"nm")</f>
        <v>nm</v>
      </c>
      <c r="C26" s="45">
        <f t="shared" si="43"/>
        <v>2.830942863857322E-5</v>
      </c>
      <c r="D26" s="45">
        <f t="shared" si="43"/>
        <v>2.3013227229348732E-6</v>
      </c>
      <c r="E26" s="45">
        <f t="shared" si="43"/>
        <v>1.8752581577810568E-5</v>
      </c>
      <c r="F26" s="45">
        <f t="shared" si="43"/>
        <v>-4.1536151040522107E-5</v>
      </c>
      <c r="G26" s="45">
        <f t="shared" si="43"/>
        <v>2.0756595321053117E-5</v>
      </c>
      <c r="H26" s="45">
        <f t="shared" si="43"/>
        <v>1.5092721620746374E-4</v>
      </c>
      <c r="I26" s="45">
        <f>+IFERROR(I24-I25,"nm")</f>
        <v>1.5458605290268046E-4</v>
      </c>
      <c r="J26" s="47">
        <v>0</v>
      </c>
      <c r="K26" s="47">
        <f t="shared" si="42"/>
        <v>0</v>
      </c>
      <c r="L26" s="47">
        <f t="shared" si="42"/>
        <v>0</v>
      </c>
      <c r="M26" s="47">
        <f t="shared" si="42"/>
        <v>0</v>
      </c>
      <c r="N26" s="47">
        <f t="shared" si="42"/>
        <v>0</v>
      </c>
    </row>
    <row r="27" spans="1:15">
      <c r="A27" s="43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I27 * (1 + 9.2%)</f>
        <v>5997.2640000000001</v>
      </c>
      <c r="K27" s="3">
        <f t="shared" ref="K27:N27" si="44">J27 * (1 + 9.2%)</f>
        <v>6549.0122880000008</v>
      </c>
      <c r="L27" s="3">
        <f t="shared" si="44"/>
        <v>7151.5214184960014</v>
      </c>
      <c r="M27" s="3">
        <f t="shared" si="44"/>
        <v>7809.4613889976345</v>
      </c>
      <c r="N27" s="3">
        <f t="shared" si="44"/>
        <v>8527.9318367854175</v>
      </c>
    </row>
    <row r="28" spans="1:15">
      <c r="A28" s="42" t="s">
        <v>129</v>
      </c>
      <c r="B28" s="45" t="str">
        <f t="shared" ref="B28" si="45">+IFERROR(B27/A27-1,"nm")</f>
        <v>nm</v>
      </c>
      <c r="C28" s="45">
        <f t="shared" ref="C28" si="46">+IFERROR(C27/B27-1,"nm")</f>
        <v>7.6190476190476142E-2</v>
      </c>
      <c r="D28" s="45">
        <f t="shared" ref="D28" si="47">+IFERROR(D27/C27-1,"nm")</f>
        <v>2.9498525073746285E-2</v>
      </c>
      <c r="E28" s="45">
        <f t="shared" ref="E28" si="48">+IFERROR(E27/D27-1,"nm")</f>
        <v>1.0642652476463343E-2</v>
      </c>
      <c r="F28" s="45">
        <f t="shared" ref="F28" si="49">+IFERROR(F27/E27-1,"nm")</f>
        <v>6.5208586472256025E-2</v>
      </c>
      <c r="G28" s="45">
        <f t="shared" ref="G28" si="50">+IFERROR(G27/F27-1,"nm")</f>
        <v>-0.11806083650190113</v>
      </c>
      <c r="H28" s="45">
        <f t="shared" ref="H28" si="51">+IFERROR(H27/G27-1,"nm")</f>
        <v>8.3854278939426541E-2</v>
      </c>
      <c r="I28" s="45">
        <f>+IFERROR(I27/H27-1,"nm")</f>
        <v>9.2283214001591007E-2</v>
      </c>
      <c r="J28" s="45">
        <f>+J29+J30</f>
        <v>0</v>
      </c>
      <c r="K28" s="45">
        <f t="shared" ref="K28" si="52">+K29+K30</f>
        <v>0</v>
      </c>
      <c r="L28" s="45">
        <f t="shared" ref="L28" si="53">+L29+L30</f>
        <v>0</v>
      </c>
      <c r="M28" s="45">
        <f t="shared" ref="M28" si="54">+M29+M30</f>
        <v>0</v>
      </c>
      <c r="N28" s="45">
        <f t="shared" ref="N28" si="55">+N29+N30</f>
        <v>0</v>
      </c>
    </row>
    <row r="29" spans="1:15">
      <c r="A29" s="42" t="s">
        <v>137</v>
      </c>
      <c r="B29" s="45">
        <f>+Historicals!B184</f>
        <v>0</v>
      </c>
      <c r="C29" s="45">
        <f>+Historicals!C184</f>
        <v>7.2300000000000003E-2</v>
      </c>
      <c r="D29" s="45">
        <f>+Historicals!D184</f>
        <v>2.9499999999999998E-2</v>
      </c>
      <c r="E29" s="45">
        <f>+Historicals!E184</f>
        <v>0.13150000000000001</v>
      </c>
      <c r="F29" s="45">
        <f>+Historicals!F184</f>
        <v>7.1099999999999997E-2</v>
      </c>
      <c r="G29" s="45">
        <f>+Historicals!G184</f>
        <v>-6.3700000000000007E-2</v>
      </c>
      <c r="H29" s="45">
        <f>+Historicals!H184</f>
        <v>0.183</v>
      </c>
      <c r="I29" s="45">
        <f>+Historicals!I184</f>
        <v>0.09</v>
      </c>
      <c r="J29" s="47">
        <v>0</v>
      </c>
      <c r="K29" s="47">
        <f t="shared" ref="K29:N29" si="56">+J29</f>
        <v>0</v>
      </c>
      <c r="L29" s="47">
        <f t="shared" si="56"/>
        <v>0</v>
      </c>
      <c r="M29" s="47">
        <f t="shared" si="56"/>
        <v>0</v>
      </c>
      <c r="N29" s="47">
        <f t="shared" si="56"/>
        <v>0</v>
      </c>
    </row>
    <row r="30" spans="1:15">
      <c r="A30" s="42" t="s">
        <v>138</v>
      </c>
      <c r="B30" s="45" t="str">
        <f t="shared" ref="B30" si="57">+IFERROR(B28-B29,"nm")</f>
        <v>nm</v>
      </c>
      <c r="C30" s="45">
        <f t="shared" ref="C30" si="58">+IFERROR(C28-C29,"nm")</f>
        <v>3.8904761904761387E-3</v>
      </c>
      <c r="D30" s="45">
        <f t="shared" ref="D30" si="59">+IFERROR(D28-D29,"nm")</f>
        <v>-1.4749262537139263E-6</v>
      </c>
      <c r="E30" s="45">
        <f t="shared" ref="E30" si="60">+IFERROR(E28-E29,"nm")</f>
        <v>-0.12085734752353666</v>
      </c>
      <c r="F30" s="45">
        <f t="shared" ref="F30" si="61">+IFERROR(F28-F29,"nm")</f>
        <v>-5.8914135277439716E-3</v>
      </c>
      <c r="G30" s="45">
        <f t="shared" ref="G30" si="62">+IFERROR(G28-G29,"nm")</f>
        <v>-5.4360836501901127E-2</v>
      </c>
      <c r="H30" s="45">
        <f t="shared" ref="H30" si="63">+IFERROR(H28-H29,"nm")</f>
        <v>-9.9145721060573455E-2</v>
      </c>
      <c r="I30" s="45">
        <f>+IFERROR(I28-I29,"nm")</f>
        <v>2.2832140015910107E-3</v>
      </c>
      <c r="J30" s="47">
        <v>0</v>
      </c>
      <c r="K30" s="47">
        <f t="shared" ref="K30:N30" si="64">+J30</f>
        <v>0</v>
      </c>
      <c r="L30" s="47">
        <f t="shared" si="64"/>
        <v>0</v>
      </c>
      <c r="M30" s="47">
        <f t="shared" si="64"/>
        <v>0</v>
      </c>
      <c r="N30" s="47">
        <f t="shared" si="64"/>
        <v>0</v>
      </c>
    </row>
    <row r="31" spans="1:15">
      <c r="A31" s="43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I31 * (1 + 24.9%)</f>
        <v>790.61700000000008</v>
      </c>
      <c r="K31" s="3">
        <f t="shared" ref="K31:N31" si="65">J31 * (1 + 24.9%)</f>
        <v>987.48063300000013</v>
      </c>
      <c r="L31" s="3">
        <f t="shared" si="65"/>
        <v>1233.3633106170003</v>
      </c>
      <c r="M31" s="3">
        <f t="shared" si="65"/>
        <v>1540.4707749606334</v>
      </c>
      <c r="N31" s="3">
        <f t="shared" si="65"/>
        <v>1924.0479979258314</v>
      </c>
    </row>
    <row r="32" spans="1:15">
      <c r="A32" s="42" t="s">
        <v>129</v>
      </c>
      <c r="B32" s="45" t="str">
        <f t="shared" ref="B32" si="66">+IFERROR(B31/A31-1,"nm")</f>
        <v>nm</v>
      </c>
      <c r="C32" s="45">
        <f t="shared" ref="C32" si="67">+IFERROR(C31/B31-1,"nm")</f>
        <v>-0.12742718446601942</v>
      </c>
      <c r="D32" s="45">
        <f t="shared" ref="D32" si="68">+IFERROR(D31/C31-1,"nm")</f>
        <v>-0.10152990264255912</v>
      </c>
      <c r="E32" s="45">
        <f t="shared" ref="E32" si="69">+IFERROR(E31/D31-1,"nm")</f>
        <v>-7.8947368421052655E-2</v>
      </c>
      <c r="F32" s="45">
        <f t="shared" ref="F32" si="70">+IFERROR(F31/E31-1,"nm")</f>
        <v>3.3613445378151141E-3</v>
      </c>
      <c r="G32" s="45">
        <f t="shared" ref="G32" si="71">+IFERROR(G31/F31-1,"nm")</f>
        <v>-0.13567839195979903</v>
      </c>
      <c r="H32" s="45">
        <f t="shared" ref="H32" si="72">+IFERROR(H31/G31-1,"nm")</f>
        <v>-1.744186046511631E-2</v>
      </c>
      <c r="I32" s="45">
        <f>+IFERROR(I31/H31-1,"nm")</f>
        <v>0.24852071005917153</v>
      </c>
      <c r="J32" s="45">
        <f>+J33+J34</f>
        <v>0</v>
      </c>
      <c r="K32" s="45">
        <f t="shared" ref="K32" si="73">+K33+K34</f>
        <v>0</v>
      </c>
      <c r="L32" s="45">
        <f t="shared" ref="L32" si="74">+L33+L34</f>
        <v>0</v>
      </c>
      <c r="M32" s="45">
        <f t="shared" ref="M32" si="75">+M33+M34</f>
        <v>0</v>
      </c>
      <c r="N32" s="45">
        <f t="shared" ref="N32" si="76">+N33+N34</f>
        <v>0</v>
      </c>
    </row>
    <row r="33" spans="1:14">
      <c r="A33" s="42" t="s">
        <v>137</v>
      </c>
      <c r="B33" s="45">
        <f>+Historicals!B182</f>
        <v>0</v>
      </c>
      <c r="C33" s="45">
        <f>+Historicals!C182</f>
        <v>-0.12740000000000001</v>
      </c>
      <c r="D33" s="45">
        <f>+Historicals!D182</f>
        <v>-0.10150000000000001</v>
      </c>
      <c r="E33" s="45">
        <f>+Historicals!E182</f>
        <v>-7.8899999999999998E-2</v>
      </c>
      <c r="F33" s="45">
        <f>+Historicals!F182</f>
        <v>3.3999999999999998E-3</v>
      </c>
      <c r="G33" s="45">
        <f>+Historicals!G182</f>
        <v>-0.13569999999999999</v>
      </c>
      <c r="H33" s="45">
        <f>+Historicals!H182</f>
        <v>-1.7399999999999999E-2</v>
      </c>
      <c r="I33" s="45">
        <f>+Historicals!I182</f>
        <v>0.25</v>
      </c>
      <c r="J33" s="47">
        <v>0</v>
      </c>
      <c r="K33" s="47">
        <f t="shared" ref="K33:N33" si="77">+J33</f>
        <v>0</v>
      </c>
      <c r="L33" s="47">
        <f t="shared" si="77"/>
        <v>0</v>
      </c>
      <c r="M33" s="47">
        <f t="shared" si="77"/>
        <v>0</v>
      </c>
      <c r="N33" s="47">
        <f t="shared" si="77"/>
        <v>0</v>
      </c>
    </row>
    <row r="34" spans="1:14">
      <c r="A34" s="42" t="s">
        <v>138</v>
      </c>
      <c r="B34" s="45" t="str">
        <f t="shared" ref="B34" si="78">+IFERROR(B32-B33,"nm")</f>
        <v>nm</v>
      </c>
      <c r="C34" s="45">
        <f t="shared" ref="C34" si="79">+IFERROR(C32-C33,"nm")</f>
        <v>-2.7184466019403164E-5</v>
      </c>
      <c r="D34" s="45">
        <f t="shared" ref="D34" si="80">+IFERROR(D32-D33,"nm")</f>
        <v>-2.9902642559115344E-5</v>
      </c>
      <c r="E34" s="45">
        <f t="shared" ref="E34" si="81">+IFERROR(E32-E33,"nm")</f>
        <v>-4.7368421052657039E-5</v>
      </c>
      <c r="F34" s="45">
        <f t="shared" ref="F34" si="82">+IFERROR(F32-F33,"nm")</f>
        <v>-3.8655462184885702E-5</v>
      </c>
      <c r="G34" s="45">
        <f t="shared" ref="G34" si="83">+IFERROR(G32-G33,"nm")</f>
        <v>2.1608040200959966E-5</v>
      </c>
      <c r="H34" s="45">
        <f t="shared" ref="H34" si="84">+IFERROR(H32-H33,"nm")</f>
        <v>-4.1860465116311252E-5</v>
      </c>
      <c r="I34" s="45">
        <f>+IFERROR(I32-I33,"nm")</f>
        <v>-1.4792899408284654E-3</v>
      </c>
      <c r="J34" s="47">
        <v>0</v>
      </c>
      <c r="K34" s="47">
        <f t="shared" ref="K34:N34" si="85">+J34</f>
        <v>0</v>
      </c>
      <c r="L34" s="47">
        <f t="shared" si="85"/>
        <v>0</v>
      </c>
      <c r="M34" s="47">
        <f t="shared" si="85"/>
        <v>0</v>
      </c>
      <c r="N34" s="47">
        <f t="shared" si="85"/>
        <v>0</v>
      </c>
    </row>
    <row r="35" spans="1:14">
      <c r="A35" s="9" t="s">
        <v>130</v>
      </c>
      <c r="B35" s="46">
        <f t="shared" ref="B35:H35" si="86">+B42+B38</f>
        <v>3754</v>
      </c>
      <c r="C35" s="46">
        <f t="shared" si="86"/>
        <v>3884</v>
      </c>
      <c r="D35" s="46">
        <f t="shared" si="86"/>
        <v>4000</v>
      </c>
      <c r="E35" s="46">
        <f t="shared" si="86"/>
        <v>3728</v>
      </c>
      <c r="F35" s="46">
        <f t="shared" si="86"/>
        <v>4055</v>
      </c>
      <c r="G35" s="46">
        <f t="shared" si="86"/>
        <v>3029</v>
      </c>
      <c r="H35" s="46">
        <f t="shared" si="86"/>
        <v>5219</v>
      </c>
      <c r="I35" s="46">
        <f>+I42+I38</f>
        <v>5238</v>
      </c>
      <c r="J35" s="46">
        <f>I35 * (1 + 0.4%)</f>
        <v>5258.9520000000002</v>
      </c>
      <c r="K35" s="46">
        <f t="shared" ref="K35:N35" si="87">J35 * (1 + 0.4%)</f>
        <v>5279.9878079999999</v>
      </c>
      <c r="L35" s="46">
        <f t="shared" si="87"/>
        <v>5301.1077592319998</v>
      </c>
      <c r="M35" s="46">
        <f t="shared" si="87"/>
        <v>5322.3121902689281</v>
      </c>
      <c r="N35" s="46">
        <f t="shared" si="87"/>
        <v>5343.6014390300043</v>
      </c>
    </row>
    <row r="36" spans="1:14">
      <c r="A36" s="44" t="s">
        <v>129</v>
      </c>
      <c r="B36" s="45" t="str">
        <f t="shared" ref="B36" si="88">+IFERROR(B35/A35-1,"nm")</f>
        <v>nm</v>
      </c>
      <c r="C36" s="45">
        <f t="shared" ref="C36" si="89">+IFERROR(C35/B35-1,"nm")</f>
        <v>3.4629728289824246E-2</v>
      </c>
      <c r="D36" s="45">
        <f t="shared" ref="D36" si="90">+IFERROR(D35/C35-1,"nm")</f>
        <v>2.9866117404737436E-2</v>
      </c>
      <c r="E36" s="45">
        <f t="shared" ref="E36" si="91">+IFERROR(E35/D35-1,"nm")</f>
        <v>-6.7999999999999949E-2</v>
      </c>
      <c r="F36" s="45">
        <f t="shared" ref="F36" si="92">+IFERROR(F35/E35-1,"nm")</f>
        <v>8.7714592274678038E-2</v>
      </c>
      <c r="G36" s="45">
        <f t="shared" ref="G36" si="93">+IFERROR(G35/F35-1,"nm")</f>
        <v>-0.25302096177558575</v>
      </c>
      <c r="H36" s="45">
        <f t="shared" ref="H36" si="94">+IFERROR(H35/G35-1,"nm")</f>
        <v>0.72301089468471447</v>
      </c>
      <c r="I36" s="45">
        <f>+IFERROR(I35/H35-1,"nm")</f>
        <v>3.6405441655489312E-3</v>
      </c>
      <c r="J36" s="45">
        <f t="shared" ref="J36:N36" si="95">+IFERROR(J35/I35-1,"nm")</f>
        <v>4.0000000000000036E-3</v>
      </c>
      <c r="K36" s="45">
        <f t="shared" si="95"/>
        <v>4.0000000000000036E-3</v>
      </c>
      <c r="L36" s="45">
        <f t="shared" si="95"/>
        <v>4.0000000000000036E-3</v>
      </c>
      <c r="M36" s="45">
        <f t="shared" si="95"/>
        <v>4.0000000000000036E-3</v>
      </c>
      <c r="N36" s="45">
        <f t="shared" si="95"/>
        <v>4.0000000000000036E-3</v>
      </c>
    </row>
    <row r="37" spans="1:14">
      <c r="A37" s="44" t="s">
        <v>131</v>
      </c>
      <c r="B37" s="45">
        <f t="shared" ref="B37:H37" si="96">+IFERROR(B35/B$21,"nm")</f>
        <v>0.27321688500727803</v>
      </c>
      <c r="C37" s="45">
        <f t="shared" si="96"/>
        <v>0.26307233811975073</v>
      </c>
      <c r="D37" s="45">
        <f t="shared" si="96"/>
        <v>0.26288117770767611</v>
      </c>
      <c r="E37" s="45">
        <f t="shared" si="96"/>
        <v>0.25095927297206327</v>
      </c>
      <c r="F37" s="45">
        <f t="shared" si="96"/>
        <v>0.25499937114828325</v>
      </c>
      <c r="G37" s="45">
        <f t="shared" si="96"/>
        <v>0.20912731289698977</v>
      </c>
      <c r="H37" s="45">
        <f t="shared" si="96"/>
        <v>0.30380115256999823</v>
      </c>
      <c r="I37" s="45">
        <f>+IFERROR(I35/I$21,"nm")</f>
        <v>0.28540293140086087</v>
      </c>
      <c r="J37" s="47">
        <f>+I37</f>
        <v>0.28540293140086087</v>
      </c>
      <c r="K37" s="47">
        <f t="shared" ref="K37:N37" si="97">+J37</f>
        <v>0.28540293140086087</v>
      </c>
      <c r="L37" s="47">
        <f t="shared" si="97"/>
        <v>0.28540293140086087</v>
      </c>
      <c r="M37" s="47">
        <f t="shared" si="97"/>
        <v>0.28540293140086087</v>
      </c>
      <c r="N37" s="47">
        <f t="shared" si="97"/>
        <v>0.28540293140086087</v>
      </c>
    </row>
    <row r="38" spans="1:14">
      <c r="A38" s="9" t="s">
        <v>132</v>
      </c>
      <c r="B38" s="9">
        <f>+Historicals!B167</f>
        <v>109</v>
      </c>
      <c r="C38" s="9">
        <f>+Historicals!C167</f>
        <v>121</v>
      </c>
      <c r="D38" s="9">
        <f>+Historicals!D167</f>
        <v>125</v>
      </c>
      <c r="E38" s="9">
        <f>+Historicals!E167</f>
        <v>128</v>
      </c>
      <c r="F38" s="9">
        <f>+Historicals!F167</f>
        <v>130</v>
      </c>
      <c r="G38" s="9">
        <f>+Historicals!G167</f>
        <v>130</v>
      </c>
      <c r="H38" s="9">
        <f>+Historicals!H167</f>
        <v>130</v>
      </c>
      <c r="I38" s="9">
        <f>+Historicals!I167</f>
        <v>124</v>
      </c>
      <c r="J38" s="46">
        <f>I38 * (1 + -4.6%)</f>
        <v>118.29599999999999</v>
      </c>
      <c r="K38" s="46">
        <f t="shared" ref="K38:N38" si="98">J38 * (1 + -4.6%)</f>
        <v>112.85438399999998</v>
      </c>
      <c r="L38" s="46">
        <f t="shared" si="98"/>
        <v>107.66308233599997</v>
      </c>
      <c r="M38" s="46">
        <f t="shared" si="98"/>
        <v>102.71058054854397</v>
      </c>
      <c r="N38" s="46">
        <f t="shared" si="98"/>
        <v>97.985893843310947</v>
      </c>
    </row>
    <row r="39" spans="1:14">
      <c r="A39" s="44" t="s">
        <v>129</v>
      </c>
      <c r="B39" s="45" t="str">
        <f t="shared" ref="B39" si="99">+IFERROR(B38/A38-1,"nm")</f>
        <v>nm</v>
      </c>
      <c r="C39" s="45">
        <f t="shared" ref="C39" si="100">+IFERROR(C38/B38-1,"nm")</f>
        <v>0.11009174311926606</v>
      </c>
      <c r="D39" s="45">
        <f t="shared" ref="D39" si="101">+IFERROR(D38/C38-1,"nm")</f>
        <v>3.3057851239669311E-2</v>
      </c>
      <c r="E39" s="45">
        <f t="shared" ref="E39" si="102">+IFERROR(E38/D38-1,"nm")</f>
        <v>2.4000000000000021E-2</v>
      </c>
      <c r="F39" s="45">
        <f t="shared" ref="F39" si="103">+IFERROR(F38/E38-1,"nm")</f>
        <v>1.5625E-2</v>
      </c>
      <c r="G39" s="45">
        <f t="shared" ref="G39" si="104">+IFERROR(G38/F38-1,"nm")</f>
        <v>0</v>
      </c>
      <c r="H39" s="45">
        <f t="shared" ref="H39" si="105">+IFERROR(H38/G38-1,"nm")</f>
        <v>0</v>
      </c>
      <c r="I39" s="45">
        <f>+IFERROR(I38/H38-1,"nm")</f>
        <v>-4.6153846153846101E-2</v>
      </c>
      <c r="J39" s="45">
        <f t="shared" ref="J39" si="106">+IFERROR(J38/I38-1,"nm")</f>
        <v>-4.6000000000000041E-2</v>
      </c>
      <c r="K39" s="45">
        <f t="shared" ref="K39" si="107">+IFERROR(K38/J38-1,"nm")</f>
        <v>-4.6000000000000041E-2</v>
      </c>
      <c r="L39" s="45">
        <f t="shared" ref="L39" si="108">+IFERROR(L38/K38-1,"nm")</f>
        <v>-4.6000000000000041E-2</v>
      </c>
      <c r="M39" s="45">
        <f t="shared" ref="M39" si="109">+IFERROR(M38/L38-1,"nm")</f>
        <v>-4.6000000000000041E-2</v>
      </c>
      <c r="N39" s="45">
        <f t="shared" ref="N39" si="110">+IFERROR(N38/M38-1,"nm")</f>
        <v>-4.6000000000000041E-2</v>
      </c>
    </row>
    <row r="40" spans="1:14">
      <c r="A40" s="44" t="s">
        <v>133</v>
      </c>
      <c r="B40" s="45">
        <f t="shared" ref="B40:H40" si="111">+IFERROR(B38/B$21,"nm")</f>
        <v>7.9330422125181953E-3</v>
      </c>
      <c r="C40" s="45">
        <f t="shared" si="111"/>
        <v>8.1956109455432139E-3</v>
      </c>
      <c r="D40" s="45">
        <f t="shared" si="111"/>
        <v>8.2150368033648783E-3</v>
      </c>
      <c r="E40" s="45">
        <f t="shared" si="111"/>
        <v>8.6166273981824297E-3</v>
      </c>
      <c r="F40" s="45">
        <f t="shared" si="111"/>
        <v>8.1750723179474273E-3</v>
      </c>
      <c r="G40" s="45">
        <f t="shared" si="111"/>
        <v>8.9754211543772444E-3</v>
      </c>
      <c r="H40" s="45">
        <f t="shared" si="111"/>
        <v>7.5673787764130628E-3</v>
      </c>
      <c r="I40" s="45">
        <f>+IFERROR(I38/I$21,"nm")</f>
        <v>6.7563886013185855E-3</v>
      </c>
      <c r="J40" s="45">
        <f t="shared" ref="J40:N40" si="112">+IFERROR(J38/J$21,"nm")</f>
        <v>6.0352010539868259E-3</v>
      </c>
      <c r="K40" s="45">
        <f t="shared" si="112"/>
        <v>5.3909941999095799E-3</v>
      </c>
      <c r="L40" s="45">
        <f t="shared" si="112"/>
        <v>4.8155509987956356E-3</v>
      </c>
      <c r="M40" s="45">
        <f t="shared" si="112"/>
        <v>4.3015315101601458E-3</v>
      </c>
      <c r="N40" s="45">
        <f t="shared" si="112"/>
        <v>3.8423792703115908E-3</v>
      </c>
    </row>
    <row r="41" spans="1:14">
      <c r="A41" s="44" t="s">
        <v>142</v>
      </c>
      <c r="B41" s="45">
        <f t="shared" ref="B41:H41" si="113">+IFERROR(B38/B48,"nm")</f>
        <v>0.17111459968602827</v>
      </c>
      <c r="C41" s="45">
        <f t="shared" si="113"/>
        <v>0.18906249999999999</v>
      </c>
      <c r="D41" s="45">
        <f t="shared" si="113"/>
        <v>0.19230769230769232</v>
      </c>
      <c r="E41" s="45">
        <f t="shared" si="113"/>
        <v>0.20983606557377049</v>
      </c>
      <c r="F41" s="45">
        <f t="shared" si="113"/>
        <v>0.20408163265306123</v>
      </c>
      <c r="G41" s="45">
        <f t="shared" si="113"/>
        <v>0.20155038759689922</v>
      </c>
      <c r="H41" s="45">
        <f t="shared" si="113"/>
        <v>0.21069692058346839</v>
      </c>
      <c r="I41" s="45">
        <f>+IFERROR(I38/I48,"nm")</f>
        <v>0.19405320813771518</v>
      </c>
      <c r="J41" s="47">
        <f>+I41</f>
        <v>0.19405320813771518</v>
      </c>
      <c r="K41" s="47">
        <f t="shared" ref="K41:N41" si="114">+J41</f>
        <v>0.19405320813771518</v>
      </c>
      <c r="L41" s="47">
        <f t="shared" si="114"/>
        <v>0.19405320813771518</v>
      </c>
      <c r="M41" s="47">
        <f t="shared" si="114"/>
        <v>0.19405320813771518</v>
      </c>
      <c r="N41" s="47">
        <f t="shared" si="114"/>
        <v>0.19405320813771518</v>
      </c>
    </row>
    <row r="42" spans="1:14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I42 * (1 + 0.5%)</f>
        <v>5139.57</v>
      </c>
      <c r="K42" s="9">
        <f t="shared" ref="K42:N42" si="115">J42 * (1 + 0.5%)</f>
        <v>5165.2678499999993</v>
      </c>
      <c r="L42" s="9">
        <f t="shared" si="115"/>
        <v>5191.0941892499986</v>
      </c>
      <c r="M42" s="9">
        <f t="shared" si="115"/>
        <v>5217.0496601962477</v>
      </c>
      <c r="N42" s="9">
        <f t="shared" si="115"/>
        <v>5243.134908497228</v>
      </c>
    </row>
    <row r="43" spans="1:14">
      <c r="A43" s="44" t="s">
        <v>129</v>
      </c>
      <c r="B43" s="45" t="str">
        <f t="shared" ref="B43" si="116">+IFERROR(B42/A42-1,"nm")</f>
        <v>nm</v>
      </c>
      <c r="C43" s="45">
        <f t="shared" ref="C43" si="117">+IFERROR(C42/B42-1,"nm")</f>
        <v>3.2373113854595292E-2</v>
      </c>
      <c r="D43" s="45">
        <f t="shared" ref="D43" si="118">+IFERROR(D42/C42-1,"nm")</f>
        <v>2.9763486579856391E-2</v>
      </c>
      <c r="E43" s="45">
        <f t="shared" ref="E43" si="119">+IFERROR(E42/D42-1,"nm")</f>
        <v>-7.096774193548383E-2</v>
      </c>
      <c r="F43" s="45">
        <f t="shared" ref="F43" si="120">+IFERROR(F42/E42-1,"nm")</f>
        <v>9.0277777777777679E-2</v>
      </c>
      <c r="G43" s="45">
        <f t="shared" ref="G43" si="121">+IFERROR(G42/F42-1,"nm")</f>
        <v>-0.26140127388535028</v>
      </c>
      <c r="H43" s="45">
        <f t="shared" ref="H43" si="122">+IFERROR(H42/G42-1,"nm")</f>
        <v>0.75543290789927564</v>
      </c>
      <c r="I43" s="45">
        <f>+IFERROR(I42/H42-1,"nm")</f>
        <v>4.9125564943997002E-3</v>
      </c>
      <c r="J43" s="45">
        <f t="shared" ref="J43:N43" si="123">+IFERROR(J42/I42-1,"nm")</f>
        <v>4.9999999999998934E-3</v>
      </c>
      <c r="K43" s="45">
        <f t="shared" si="123"/>
        <v>4.9999999999998934E-3</v>
      </c>
      <c r="L43" s="45">
        <f t="shared" si="123"/>
        <v>4.9999999999998934E-3</v>
      </c>
      <c r="M43" s="45">
        <f t="shared" si="123"/>
        <v>4.9999999999998934E-3</v>
      </c>
      <c r="N43" s="45">
        <f t="shared" si="123"/>
        <v>4.9999999999998934E-3</v>
      </c>
    </row>
    <row r="44" spans="1:14">
      <c r="A44" s="44" t="s">
        <v>131</v>
      </c>
      <c r="B44" s="45">
        <f t="shared" ref="B44:H44" si="124">+IFERROR(B42/B$21,"nm")</f>
        <v>0.26528384279475981</v>
      </c>
      <c r="C44" s="45">
        <f t="shared" si="124"/>
        <v>0.25487672717420751</v>
      </c>
      <c r="D44" s="45">
        <f t="shared" si="124"/>
        <v>0.25466614090431128</v>
      </c>
      <c r="E44" s="45">
        <f t="shared" si="124"/>
        <v>0.24234264557388085</v>
      </c>
      <c r="F44" s="45">
        <f t="shared" si="124"/>
        <v>0.2468242988303358</v>
      </c>
      <c r="G44" s="45">
        <f t="shared" si="124"/>
        <v>0.20015189174261253</v>
      </c>
      <c r="H44" s="45">
        <f t="shared" si="124"/>
        <v>0.29623377379358518</v>
      </c>
      <c r="I44" s="45">
        <f>+IFERROR(I42/I$21,"nm")</f>
        <v>0.27864654279954232</v>
      </c>
      <c r="J44" s="45">
        <f t="shared" ref="J44:N44" si="125">+IFERROR(J42/J$21,"nm")</f>
        <v>0.26220952763440075</v>
      </c>
      <c r="K44" s="45">
        <f t="shared" si="125"/>
        <v>0.24674211167843887</v>
      </c>
      <c r="L44" s="45">
        <f t="shared" si="125"/>
        <v>0.23218709947268826</v>
      </c>
      <c r="M44" s="45">
        <f t="shared" si="125"/>
        <v>0.21849066944761389</v>
      </c>
      <c r="N44" s="45">
        <f t="shared" si="125"/>
        <v>0.20560217490154672</v>
      </c>
    </row>
    <row r="45" spans="1:14">
      <c r="A45" s="9" t="s">
        <v>135</v>
      </c>
      <c r="B45" s="9">
        <f>+Historicals!B156</f>
        <v>110</v>
      </c>
      <c r="C45" s="9">
        <f>+Historicals!C156</f>
        <v>115</v>
      </c>
      <c r="D45" s="9">
        <f>+Historicals!D156</f>
        <v>120</v>
      </c>
      <c r="E45" s="9">
        <f>+Historicals!E156</f>
        <v>98</v>
      </c>
      <c r="F45" s="9">
        <f>+Historicals!F156</f>
        <v>102</v>
      </c>
      <c r="G45" s="9">
        <f>+Historicals!G156</f>
        <v>100</v>
      </c>
      <c r="H45" s="9">
        <f>+Historicals!H156</f>
        <v>98</v>
      </c>
      <c r="I45" s="9">
        <f>+Historicals!I156</f>
        <v>146</v>
      </c>
      <c r="J45" s="46">
        <f>I45 * (1 + 49%)</f>
        <v>217.54</v>
      </c>
      <c r="K45" s="46">
        <f t="shared" ref="K45:N45" si="126">J45 * (1 + 49%)</f>
        <v>324.13459999999998</v>
      </c>
      <c r="L45" s="46">
        <f t="shared" si="126"/>
        <v>482.96055399999995</v>
      </c>
      <c r="M45" s="46">
        <f t="shared" si="126"/>
        <v>719.6112254599999</v>
      </c>
      <c r="N45" s="46">
        <f t="shared" si="126"/>
        <v>1072.2207259353997</v>
      </c>
    </row>
    <row r="46" spans="1:14">
      <c r="A46" s="44" t="s">
        <v>129</v>
      </c>
      <c r="B46" s="45" t="str">
        <f t="shared" ref="B46" si="127">+IFERROR(B45/A45-1,"nm")</f>
        <v>nm</v>
      </c>
      <c r="C46" s="45">
        <f t="shared" ref="C46" si="128">+IFERROR(C45/B45-1,"nm")</f>
        <v>4.5454545454545414E-2</v>
      </c>
      <c r="D46" s="45">
        <f t="shared" ref="D46" si="129">+IFERROR(D45/C45-1,"nm")</f>
        <v>4.3478260869565188E-2</v>
      </c>
      <c r="E46" s="45">
        <f t="shared" ref="E46" si="130">+IFERROR(E45/D45-1,"nm")</f>
        <v>-0.18333333333333335</v>
      </c>
      <c r="F46" s="45">
        <f t="shared" ref="F46" si="131">+IFERROR(F45/E45-1,"nm")</f>
        <v>4.081632653061229E-2</v>
      </c>
      <c r="G46" s="45">
        <f t="shared" ref="G46" si="132">+IFERROR(G45/F45-1,"nm")</f>
        <v>-1.9607843137254943E-2</v>
      </c>
      <c r="H46" s="45">
        <f t="shared" ref="H46" si="133">+IFERROR(H45/G45-1,"nm")</f>
        <v>-2.0000000000000018E-2</v>
      </c>
      <c r="I46" s="45">
        <f>+IFERROR(I45/H45-1,"nm")</f>
        <v>0.48979591836734704</v>
      </c>
      <c r="J46" s="45">
        <f t="shared" ref="J46" si="134">+IFERROR(J45/I45-1,"nm")</f>
        <v>0.49</v>
      </c>
      <c r="K46" s="45">
        <f t="shared" ref="K46" si="135">+IFERROR(K45/J45-1,"nm")</f>
        <v>0.49</v>
      </c>
      <c r="L46" s="45">
        <f t="shared" ref="L46" si="136">+IFERROR(L45/K45-1,"nm")</f>
        <v>0.49</v>
      </c>
      <c r="M46" s="45">
        <f t="shared" ref="M46" si="137">+IFERROR(M45/L45-1,"nm")</f>
        <v>0.49</v>
      </c>
      <c r="N46" s="45">
        <f t="shared" ref="N46" si="138">+IFERROR(N45/M45-1,"nm")</f>
        <v>0.48999999999999977</v>
      </c>
    </row>
    <row r="47" spans="1:14">
      <c r="A47" s="44" t="s">
        <v>133</v>
      </c>
      <c r="B47" s="45">
        <f t="shared" ref="B47:H47" si="139">+IFERROR(B45/B$21,"nm")</f>
        <v>8.0058224163027658E-3</v>
      </c>
      <c r="C47" s="45">
        <f t="shared" si="139"/>
        <v>7.7892170143592518E-3</v>
      </c>
      <c r="D47" s="45">
        <f t="shared" si="139"/>
        <v>7.8864353312302835E-3</v>
      </c>
      <c r="E47" s="45">
        <f t="shared" si="139"/>
        <v>6.5971053517334234E-3</v>
      </c>
      <c r="F47" s="45">
        <f t="shared" si="139"/>
        <v>6.4142875110049053E-3</v>
      </c>
      <c r="G47" s="45">
        <f t="shared" si="139"/>
        <v>6.9041701187517257E-3</v>
      </c>
      <c r="H47" s="45">
        <f t="shared" si="139"/>
        <v>5.7046393852960009E-3</v>
      </c>
      <c r="I47" s="45">
        <f>+IFERROR(I45/I$21,"nm")</f>
        <v>7.9551027080041418E-3</v>
      </c>
      <c r="J47" s="47">
        <f>+I47</f>
        <v>7.9551027080041418E-3</v>
      </c>
      <c r="K47" s="47">
        <f t="shared" ref="K47:N47" si="140">+J47</f>
        <v>7.9551027080041418E-3</v>
      </c>
      <c r="L47" s="47">
        <f t="shared" si="140"/>
        <v>7.9551027080041418E-3</v>
      </c>
      <c r="M47" s="47">
        <f t="shared" si="140"/>
        <v>7.9551027080041418E-3</v>
      </c>
      <c r="N47" s="47">
        <f t="shared" si="140"/>
        <v>7.9551027080041418E-3</v>
      </c>
    </row>
    <row r="48" spans="1:14">
      <c r="A48" s="9" t="s">
        <v>143</v>
      </c>
      <c r="B48" s="9">
        <f>+Historicals!B145</f>
        <v>637</v>
      </c>
      <c r="C48" s="9">
        <f>+Historicals!C145</f>
        <v>640</v>
      </c>
      <c r="D48" s="9">
        <f>+Historicals!D145</f>
        <v>650</v>
      </c>
      <c r="E48" s="9">
        <f>+Historicals!E145</f>
        <v>610</v>
      </c>
      <c r="F48" s="9">
        <f>+Historicals!F145</f>
        <v>637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6">
        <f>I48 * (1 + 3.6%)</f>
        <v>662.00400000000002</v>
      </c>
      <c r="K48" s="46">
        <f t="shared" ref="K48:N48" si="141">J48 * (1 + 3.6%)</f>
        <v>685.83614399999999</v>
      </c>
      <c r="L48" s="46">
        <f t="shared" si="141"/>
        <v>710.526245184</v>
      </c>
      <c r="M48" s="46">
        <f t="shared" si="141"/>
        <v>736.10519001062403</v>
      </c>
      <c r="N48" s="46">
        <f t="shared" si="141"/>
        <v>762.60497685100654</v>
      </c>
    </row>
    <row r="49" spans="1:14">
      <c r="A49" s="44" t="s">
        <v>129</v>
      </c>
      <c r="B49" s="45" t="str">
        <f t="shared" ref="B49" si="142">+IFERROR(B48/A48-1,"nm")</f>
        <v>nm</v>
      </c>
      <c r="C49" s="45">
        <f t="shared" ref="C49" si="143">+IFERROR(C48/B48-1,"nm")</f>
        <v>4.7095761381474865E-3</v>
      </c>
      <c r="D49" s="45">
        <f t="shared" ref="D49" si="144">+IFERROR(D48/C48-1,"nm")</f>
        <v>1.5625E-2</v>
      </c>
      <c r="E49" s="45">
        <f t="shared" ref="E49" si="145">+IFERROR(E48/D48-1,"nm")</f>
        <v>-6.1538461538461542E-2</v>
      </c>
      <c r="F49" s="45">
        <f t="shared" ref="F49" si="146">+IFERROR(F48/E48-1,"nm")</f>
        <v>4.4262295081967107E-2</v>
      </c>
      <c r="G49" s="45">
        <f t="shared" ref="G49" si="147">+IFERROR(G48/F48-1,"nm")</f>
        <v>1.2558869701726927E-2</v>
      </c>
      <c r="H49" s="45">
        <f t="shared" ref="H49" si="148">+IFERROR(H48/G48-1,"nm")</f>
        <v>-4.3410852713178349E-2</v>
      </c>
      <c r="I49" s="45">
        <f>+IFERROR(I48/H48-1,"nm")</f>
        <v>3.5656401944894611E-2</v>
      </c>
      <c r="J49" s="45">
        <f>+J50+J51</f>
        <v>3.4817196098730456E-2</v>
      </c>
      <c r="K49" s="45">
        <f t="shared" ref="K49" si="149">+K50+K51</f>
        <v>3.4817196098730456E-2</v>
      </c>
      <c r="L49" s="45">
        <f t="shared" ref="L49" si="150">+L50+L51</f>
        <v>3.4817196098730456E-2</v>
      </c>
      <c r="M49" s="45">
        <f t="shared" ref="M49" si="151">+M50+M51</f>
        <v>3.4817196098730456E-2</v>
      </c>
      <c r="N49" s="45">
        <f t="shared" ref="N49" si="152">+N50+N51</f>
        <v>3.4817196098730456E-2</v>
      </c>
    </row>
    <row r="50" spans="1:14">
      <c r="A50" s="44" t="s">
        <v>133</v>
      </c>
      <c r="B50" s="45">
        <f t="shared" ref="B50:H50" si="153">+IFERROR(B48/B$21,"nm")</f>
        <v>4.6360989810771469E-2</v>
      </c>
      <c r="C50" s="45">
        <f t="shared" si="153"/>
        <v>4.334868599295584E-2</v>
      </c>
      <c r="D50" s="45">
        <f t="shared" si="153"/>
        <v>4.2718191377497369E-2</v>
      </c>
      <c r="E50" s="45">
        <f t="shared" si="153"/>
        <v>4.1063614944463145E-2</v>
      </c>
      <c r="F50" s="45">
        <f t="shared" si="153"/>
        <v>4.0057854357942395E-2</v>
      </c>
      <c r="G50" s="45">
        <f t="shared" si="153"/>
        <v>4.4531897265948632E-2</v>
      </c>
      <c r="H50" s="45">
        <f t="shared" si="153"/>
        <v>3.5915943884975841E-2</v>
      </c>
      <c r="I50" s="45">
        <f>+IFERROR(I48/I$21,"nm")</f>
        <v>3.4817196098730456E-2</v>
      </c>
      <c r="J50" s="47">
        <f>+I50</f>
        <v>3.4817196098730456E-2</v>
      </c>
      <c r="K50" s="47">
        <f t="shared" ref="K50:N50" si="154">+J50</f>
        <v>3.4817196098730456E-2</v>
      </c>
      <c r="L50" s="47">
        <f t="shared" si="154"/>
        <v>3.4817196098730456E-2</v>
      </c>
      <c r="M50" s="47">
        <f t="shared" si="154"/>
        <v>3.4817196098730456E-2</v>
      </c>
      <c r="N50" s="47">
        <f t="shared" si="154"/>
        <v>3.4817196098730456E-2</v>
      </c>
    </row>
    <row r="51" spans="1:14">
      <c r="A51" s="41" t="str">
        <f>+[1]Historicals!A138</f>
        <v>Global Brand Divisions</v>
      </c>
      <c r="B51" s="41"/>
      <c r="C51" s="41"/>
      <c r="D51" s="41"/>
      <c r="E51" s="41"/>
      <c r="F51" s="41"/>
      <c r="G51" s="41"/>
      <c r="H51" s="41"/>
      <c r="I51" s="41"/>
      <c r="J51" s="37"/>
      <c r="K51" s="37"/>
      <c r="L51" s="37"/>
      <c r="M51" s="37"/>
      <c r="N51" s="37"/>
    </row>
    <row r="52" spans="1:14">
      <c r="A52" s="9" t="s">
        <v>136</v>
      </c>
      <c r="B52" s="9">
        <f>+Historicals!B138</f>
        <v>-2263</v>
      </c>
      <c r="C52" s="9">
        <f>+Historicals!C138</f>
        <v>-2596</v>
      </c>
      <c r="D52" s="9">
        <f>+Historicals!D138</f>
        <v>-2677</v>
      </c>
      <c r="E52" s="9">
        <f>+Historicals!E138</f>
        <v>-2658</v>
      </c>
      <c r="F52" s="9">
        <f>+Historicals!F138</f>
        <v>-3262</v>
      </c>
      <c r="G52" s="9">
        <f>+Historicals!G138</f>
        <v>-3468</v>
      </c>
      <c r="H52" s="9">
        <f>+Historicals!H138</f>
        <v>-3656</v>
      </c>
      <c r="I52" s="9">
        <f>+Historicals!I138</f>
        <v>-4262</v>
      </c>
      <c r="J52" s="9">
        <f>I52 * (1 + 16.6%)</f>
        <v>-4969.4919999999993</v>
      </c>
      <c r="K52" s="9">
        <f t="shared" ref="K52:N52" si="155">J52 * (1 + 16.6%)</f>
        <v>-5794.4276719999989</v>
      </c>
      <c r="L52" s="9">
        <f t="shared" si="155"/>
        <v>-6756.302665551998</v>
      </c>
      <c r="M52" s="9">
        <f t="shared" si="155"/>
        <v>-7877.8489080336294</v>
      </c>
      <c r="N52" s="9">
        <f t="shared" si="155"/>
        <v>-9185.571826767211</v>
      </c>
    </row>
    <row r="53" spans="1:14">
      <c r="A53" s="42" t="s">
        <v>129</v>
      </c>
      <c r="B53" s="45" t="str">
        <f t="shared" ref="B53" si="156">+IFERROR(B52/A52-1,"nm")</f>
        <v>nm</v>
      </c>
      <c r="C53" s="45">
        <f t="shared" ref="C53" si="157">+IFERROR(C52/B52-1,"nm")</f>
        <v>0.1471498011489174</v>
      </c>
      <c r="D53" s="45">
        <f t="shared" ref="D53" si="158">+IFERROR(D52/C52-1,"nm")</f>
        <v>3.1201848998459125E-2</v>
      </c>
      <c r="E53" s="45">
        <f t="shared" ref="E53" si="159">+IFERROR(E52/D52-1,"nm")</f>
        <v>-7.097497198356395E-3</v>
      </c>
      <c r="F53" s="45">
        <f t="shared" ref="F53" si="160">+IFERROR(F52/E52-1,"nm")</f>
        <v>0.22723852520692245</v>
      </c>
      <c r="G53" s="45">
        <f t="shared" ref="G53" si="161">+IFERROR(G52/F52-1,"nm")</f>
        <v>6.3151440833844275E-2</v>
      </c>
      <c r="H53" s="45">
        <f t="shared" ref="H53" si="162">+IFERROR(H52/G52-1,"nm")</f>
        <v>5.4209919261822392E-2</v>
      </c>
      <c r="I53" s="45">
        <f>+IFERROR(I52/H52-1,"nm")</f>
        <v>0.16575492341356668</v>
      </c>
      <c r="J53" s="45">
        <f t="shared" ref="J53" si="163">+IFERROR(J52/I52-1,"nm")</f>
        <v>0.16599999999999993</v>
      </c>
      <c r="K53" s="45">
        <f t="shared" ref="K53" si="164">+IFERROR(K52/J52-1,"nm")</f>
        <v>0.16599999999999993</v>
      </c>
      <c r="L53" s="45">
        <f t="shared" ref="L53" si="165">+IFERROR(L52/K52-1,"nm")</f>
        <v>0.16599999999999993</v>
      </c>
      <c r="M53" s="45">
        <f t="shared" ref="M53" si="166">+IFERROR(M52/L52-1,"nm")</f>
        <v>0.16599999999999993</v>
      </c>
      <c r="N53" s="45">
        <f t="shared" ref="N53" si="167">+IFERROR(N52/M52-1,"nm")</f>
        <v>0.16599999999999993</v>
      </c>
    </row>
    <row r="54" spans="1:14">
      <c r="A54" s="43" t="s">
        <v>113</v>
      </c>
      <c r="B54" s="3">
        <f>+Historicals!B126</f>
        <v>19938</v>
      </c>
      <c r="C54" s="3">
        <f>+Historicals!C126</f>
        <v>20821</v>
      </c>
      <c r="D54" s="3">
        <f>+Historicals!D126</f>
        <v>22267</v>
      </c>
      <c r="E54" s="3">
        <f>+Historicals!E126</f>
        <v>22800</v>
      </c>
      <c r="F54" s="3">
        <f>+Historicals!F126</f>
        <v>24226</v>
      </c>
      <c r="G54" s="3">
        <f>+Historicals!G126</f>
        <v>23305</v>
      </c>
      <c r="H54" s="3">
        <f>+Historicals!H126</f>
        <v>1986</v>
      </c>
      <c r="I54" s="3">
        <f>+Historicals!I126</f>
        <v>2094</v>
      </c>
      <c r="J54" s="3">
        <f>I54 * (1 + 5.4%)</f>
        <v>2207.076</v>
      </c>
      <c r="K54" s="3">
        <f t="shared" ref="K54:N54" si="168">J54 * (1 + 5.4%)</f>
        <v>2326.258104</v>
      </c>
      <c r="L54" s="3">
        <f t="shared" si="168"/>
        <v>2451.8760416160003</v>
      </c>
      <c r="M54" s="3">
        <f t="shared" si="168"/>
        <v>2584.2773478632644</v>
      </c>
      <c r="N54" s="3">
        <f t="shared" si="168"/>
        <v>2723.8283246478809</v>
      </c>
    </row>
    <row r="55" spans="1:14">
      <c r="A55" s="42" t="s">
        <v>129</v>
      </c>
      <c r="B55" s="45" t="str">
        <f t="shared" ref="B55" si="169">+IFERROR(B54/A54-1,"nm")</f>
        <v>nm</v>
      </c>
      <c r="C55" s="45">
        <f t="shared" ref="C55" si="170">+IFERROR(C54/B54-1,"nm")</f>
        <v>4.4287290600862672E-2</v>
      </c>
      <c r="D55" s="45">
        <f t="shared" ref="D55" si="171">+IFERROR(D54/C54-1,"nm")</f>
        <v>6.9449113875414303E-2</v>
      </c>
      <c r="E55" s="45">
        <f t="shared" ref="E55" si="172">+IFERROR(E54/D54-1,"nm")</f>
        <v>2.3936767413661464E-2</v>
      </c>
      <c r="F55" s="45">
        <f t="shared" ref="F55" si="173">+IFERROR(F54/E54-1,"nm")</f>
        <v>6.2543859649122791E-2</v>
      </c>
      <c r="G55" s="45">
        <f t="shared" ref="G55" si="174">+IFERROR(G54/F54-1,"nm")</f>
        <v>-3.8017006521918639E-2</v>
      </c>
      <c r="H55" s="45">
        <f t="shared" ref="H55" si="175">+IFERROR(H54/G54-1,"nm")</f>
        <v>-0.91478223557176574</v>
      </c>
      <c r="I55" s="45">
        <f>+IFERROR(I54/H54-1,"nm")</f>
        <v>5.4380664652567967E-2</v>
      </c>
      <c r="J55" s="45">
        <f>+J56+J57</f>
        <v>0</v>
      </c>
      <c r="K55" s="45">
        <f t="shared" ref="K55:N55" si="176">+K56+K57</f>
        <v>0</v>
      </c>
      <c r="L55" s="45">
        <f t="shared" si="176"/>
        <v>0</v>
      </c>
      <c r="M55" s="45">
        <f t="shared" si="176"/>
        <v>0</v>
      </c>
      <c r="N55" s="45">
        <f t="shared" si="176"/>
        <v>0</v>
      </c>
    </row>
    <row r="56" spans="1:14">
      <c r="A56" s="42" t="s">
        <v>137</v>
      </c>
      <c r="B56" s="45">
        <f>+Historicals!B211</f>
        <v>0</v>
      </c>
      <c r="C56" s="45">
        <f>+Historicals!C211</f>
        <v>0</v>
      </c>
      <c r="D56" s="45">
        <f>+Historicals!D211</f>
        <v>0</v>
      </c>
      <c r="E56" s="45">
        <f>+Historicals!E211</f>
        <v>0</v>
      </c>
      <c r="F56" s="45">
        <f>+Historicals!F211</f>
        <v>0</v>
      </c>
      <c r="G56" s="45">
        <f>+Historicals!G211</f>
        <v>0</v>
      </c>
      <c r="H56" s="45">
        <f>+Historicals!H211</f>
        <v>0</v>
      </c>
      <c r="I56" s="45">
        <f>+Historicals!I211</f>
        <v>0</v>
      </c>
      <c r="J56" s="47">
        <v>0</v>
      </c>
      <c r="K56" s="47">
        <f t="shared" ref="K56:K57" si="177">+J56</f>
        <v>0</v>
      </c>
      <c r="L56" s="47">
        <f t="shared" ref="L56:L57" si="178">+K56</f>
        <v>0</v>
      </c>
      <c r="M56" s="47">
        <f t="shared" ref="M56:M57" si="179">+L56</f>
        <v>0</v>
      </c>
      <c r="N56" s="47">
        <f t="shared" ref="N56:N57" si="180">+M56</f>
        <v>0</v>
      </c>
    </row>
    <row r="57" spans="1:14">
      <c r="A57" s="42" t="s">
        <v>138</v>
      </c>
      <c r="B57" s="45" t="str">
        <f t="shared" ref="B57:H57" si="181">+IFERROR(B55-B56,"nm")</f>
        <v>nm</v>
      </c>
      <c r="C57" s="45">
        <f t="shared" si="181"/>
        <v>4.4287290600862672E-2</v>
      </c>
      <c r="D57" s="45">
        <f t="shared" si="181"/>
        <v>6.9449113875414303E-2</v>
      </c>
      <c r="E57" s="45">
        <f t="shared" si="181"/>
        <v>2.3936767413661464E-2</v>
      </c>
      <c r="F57" s="45">
        <f t="shared" si="181"/>
        <v>6.2543859649122791E-2</v>
      </c>
      <c r="G57" s="45">
        <f t="shared" si="181"/>
        <v>-3.8017006521918639E-2</v>
      </c>
      <c r="H57" s="45">
        <f t="shared" si="181"/>
        <v>-0.91478223557176574</v>
      </c>
      <c r="I57" s="45">
        <f>+IFERROR(I55-I56,"nm")</f>
        <v>5.4380664652567967E-2</v>
      </c>
      <c r="J57" s="47">
        <v>0</v>
      </c>
      <c r="K57" s="47">
        <f t="shared" si="177"/>
        <v>0</v>
      </c>
      <c r="L57" s="47">
        <f t="shared" si="178"/>
        <v>0</v>
      </c>
      <c r="M57" s="47">
        <f t="shared" si="179"/>
        <v>0</v>
      </c>
      <c r="N57" s="47">
        <f t="shared" si="180"/>
        <v>0</v>
      </c>
    </row>
    <row r="58" spans="1:14">
      <c r="A58" s="43" t="s">
        <v>114</v>
      </c>
      <c r="B58" s="3">
        <f>+Historicals!B127</f>
        <v>8264</v>
      </c>
      <c r="C58" s="3">
        <f>+Historicals!C127</f>
        <v>8825</v>
      </c>
      <c r="D58" s="3">
        <f>+Historicals!D127</f>
        <v>9655</v>
      </c>
      <c r="E58" s="3">
        <f>+Historicals!E127</f>
        <v>10000</v>
      </c>
      <c r="F58" s="3">
        <f>+Historicals!F127</f>
        <v>10965</v>
      </c>
      <c r="G58" s="3">
        <f>+Historicals!G127</f>
        <v>10036</v>
      </c>
      <c r="H58" s="3">
        <f>+Historicals!H127</f>
        <v>104</v>
      </c>
      <c r="I58" s="3">
        <f>+Historicals!I127</f>
        <v>103</v>
      </c>
      <c r="J58" s="3">
        <f>I58 * (1 -1%)</f>
        <v>101.97</v>
      </c>
      <c r="K58" s="3">
        <f t="shared" ref="K58:N58" si="182">J58 * (1 -1%)</f>
        <v>100.9503</v>
      </c>
      <c r="L58" s="3">
        <f t="shared" si="182"/>
        <v>99.940797000000003</v>
      </c>
      <c r="M58" s="3">
        <f t="shared" si="182"/>
        <v>98.941389029999996</v>
      </c>
      <c r="N58" s="3">
        <f t="shared" si="182"/>
        <v>97.951975139699996</v>
      </c>
    </row>
    <row r="59" spans="1:14">
      <c r="A59" s="42" t="s">
        <v>129</v>
      </c>
      <c r="B59" s="45" t="str">
        <f t="shared" ref="B59" si="183">+IFERROR(B58/A58-1,"nm")</f>
        <v>nm</v>
      </c>
      <c r="C59" s="45">
        <f t="shared" ref="C59" si="184">+IFERROR(C58/B58-1,"nm")</f>
        <v>6.7884801548886653E-2</v>
      </c>
      <c r="D59" s="45">
        <f t="shared" ref="D59" si="185">+IFERROR(D58/C58-1,"nm")</f>
        <v>9.4050991501416492E-2</v>
      </c>
      <c r="E59" s="45">
        <f t="shared" ref="E59" si="186">+IFERROR(E58/D58-1,"nm")</f>
        <v>3.5732780942516751E-2</v>
      </c>
      <c r="F59" s="45">
        <f t="shared" ref="F59" si="187">+IFERROR(F58/E58-1,"nm")</f>
        <v>9.650000000000003E-2</v>
      </c>
      <c r="G59" s="45">
        <f t="shared" ref="G59" si="188">+IFERROR(G58/F58-1,"nm")</f>
        <v>-8.4724122207022301E-2</v>
      </c>
      <c r="H59" s="45">
        <f t="shared" ref="H59" si="189">+IFERROR(H58/G58-1,"nm")</f>
        <v>-0.98963730569948183</v>
      </c>
      <c r="I59" s="45">
        <f>+IFERROR(I58/H58-1,"nm")</f>
        <v>-9.6153846153845812E-3</v>
      </c>
      <c r="J59" s="45">
        <f>+J60+J61</f>
        <v>0</v>
      </c>
      <c r="K59" s="45">
        <f t="shared" ref="K59:N59" si="190">+K60+K61</f>
        <v>0</v>
      </c>
      <c r="L59" s="45">
        <f t="shared" si="190"/>
        <v>0</v>
      </c>
      <c r="M59" s="45">
        <f t="shared" si="190"/>
        <v>0</v>
      </c>
      <c r="N59" s="45">
        <f t="shared" si="190"/>
        <v>0</v>
      </c>
    </row>
    <row r="60" spans="1:14">
      <c r="A60" s="42" t="s">
        <v>137</v>
      </c>
      <c r="B60" s="45">
        <f>+Historicals!B215</f>
        <v>0</v>
      </c>
      <c r="C60" s="45">
        <f>+Historicals!C215</f>
        <v>0</v>
      </c>
      <c r="D60" s="45">
        <f>+Historicals!D215</f>
        <v>0</v>
      </c>
      <c r="E60" s="45">
        <f>+Historicals!E215</f>
        <v>0</v>
      </c>
      <c r="F60" s="45">
        <f>+Historicals!F215</f>
        <v>0</v>
      </c>
      <c r="G60" s="45">
        <f>+Historicals!G215</f>
        <v>0</v>
      </c>
      <c r="H60" s="45">
        <f>+Historicals!H215</f>
        <v>0</v>
      </c>
      <c r="I60" s="45">
        <f>+Historicals!I215</f>
        <v>0</v>
      </c>
      <c r="J60" s="47">
        <v>0</v>
      </c>
      <c r="K60" s="47">
        <f t="shared" ref="K60:K61" si="191">+J60</f>
        <v>0</v>
      </c>
      <c r="L60" s="47">
        <f t="shared" ref="L60:L61" si="192">+K60</f>
        <v>0</v>
      </c>
      <c r="M60" s="47">
        <f t="shared" ref="M60:M61" si="193">+L60</f>
        <v>0</v>
      </c>
      <c r="N60" s="47">
        <f t="shared" ref="N60:N61" si="194">+M60</f>
        <v>0</v>
      </c>
    </row>
    <row r="61" spans="1:14">
      <c r="A61" s="42" t="s">
        <v>138</v>
      </c>
      <c r="B61" s="45" t="str">
        <f t="shared" ref="B61:H61" si="195">+IFERROR(B59-B60,"nm")</f>
        <v>nm</v>
      </c>
      <c r="C61" s="45">
        <f t="shared" si="195"/>
        <v>6.7884801548886653E-2</v>
      </c>
      <c r="D61" s="45">
        <f t="shared" si="195"/>
        <v>9.4050991501416492E-2</v>
      </c>
      <c r="E61" s="45">
        <f t="shared" si="195"/>
        <v>3.5732780942516751E-2</v>
      </c>
      <c r="F61" s="45">
        <f t="shared" si="195"/>
        <v>9.650000000000003E-2</v>
      </c>
      <c r="G61" s="45">
        <f t="shared" si="195"/>
        <v>-8.4724122207022301E-2</v>
      </c>
      <c r="H61" s="45">
        <f t="shared" si="195"/>
        <v>-0.98963730569948183</v>
      </c>
      <c r="I61" s="45">
        <f>+IFERROR(I59-I60,"nm")</f>
        <v>-9.6153846153845812E-3</v>
      </c>
      <c r="J61" s="47">
        <v>0</v>
      </c>
      <c r="K61" s="47">
        <f t="shared" si="191"/>
        <v>0</v>
      </c>
      <c r="L61" s="47">
        <f t="shared" si="192"/>
        <v>0</v>
      </c>
      <c r="M61" s="47">
        <f t="shared" si="193"/>
        <v>0</v>
      </c>
      <c r="N61" s="47">
        <f t="shared" si="194"/>
        <v>0</v>
      </c>
    </row>
    <row r="62" spans="1:14">
      <c r="A62" s="43" t="s">
        <v>115</v>
      </c>
      <c r="B62" s="3">
        <f>+Historicals!B128</f>
        <v>13</v>
      </c>
      <c r="C62" s="3">
        <f>+Historicals!C128</f>
        <v>15</v>
      </c>
      <c r="D62" s="3">
        <f>+Historicals!D128</f>
        <v>14</v>
      </c>
      <c r="E62" s="3">
        <f>+Historicals!E128</f>
        <v>14</v>
      </c>
      <c r="F62" s="3">
        <f>+Historicals!F128</f>
        <v>12</v>
      </c>
      <c r="G62" s="3">
        <f>+Historicals!G128</f>
        <v>16</v>
      </c>
      <c r="H62" s="3">
        <f>+Historicals!H128</f>
        <v>23</v>
      </c>
      <c r="I62" s="3">
        <f>+Historicals!I128</f>
        <v>26</v>
      </c>
      <c r="J62" s="3">
        <f>I62 * (1 + 13%)</f>
        <v>29.379999999999995</v>
      </c>
      <c r="K62" s="3">
        <f t="shared" ref="K62:N62" si="196">J62 * (1 + 13%)</f>
        <v>33.19939999999999</v>
      </c>
      <c r="L62" s="3">
        <f t="shared" si="196"/>
        <v>37.515321999999983</v>
      </c>
      <c r="M62" s="3">
        <f t="shared" si="196"/>
        <v>42.39231385999998</v>
      </c>
      <c r="N62" s="3">
        <f t="shared" si="196"/>
        <v>47.903314661799975</v>
      </c>
    </row>
    <row r="63" spans="1:14">
      <c r="A63" s="42" t="s">
        <v>129</v>
      </c>
      <c r="B63" s="45" t="str">
        <f t="shared" ref="B63" si="197">+IFERROR(B62/A62-1,"nm")</f>
        <v>nm</v>
      </c>
      <c r="C63" s="45">
        <f t="shared" ref="C63" si="198">+IFERROR(C62/B62-1,"nm")</f>
        <v>0.15384615384615374</v>
      </c>
      <c r="D63" s="45">
        <f t="shared" ref="D63" si="199">+IFERROR(D62/C62-1,"nm")</f>
        <v>-6.6666666666666652E-2</v>
      </c>
      <c r="E63" s="45">
        <f t="shared" ref="E63" si="200">+IFERROR(E62/D62-1,"nm")</f>
        <v>0</v>
      </c>
      <c r="F63" s="45">
        <f t="shared" ref="F63" si="201">+IFERROR(F62/E62-1,"nm")</f>
        <v>-0.1428571428571429</v>
      </c>
      <c r="G63" s="45">
        <f t="shared" ref="G63" si="202">+IFERROR(G62/F62-1,"nm")</f>
        <v>0.33333333333333326</v>
      </c>
      <c r="H63" s="45">
        <f t="shared" ref="H63" si="203">+IFERROR(H62/G62-1,"nm")</f>
        <v>0.4375</v>
      </c>
      <c r="I63" s="45">
        <f>+IFERROR(I62/H62-1,"nm")</f>
        <v>0.13043478260869557</v>
      </c>
      <c r="J63" s="45">
        <f>+J64+J65</f>
        <v>0</v>
      </c>
      <c r="K63" s="45">
        <f t="shared" ref="K63:N63" si="204">+K64+K65</f>
        <v>0</v>
      </c>
      <c r="L63" s="45">
        <f t="shared" si="204"/>
        <v>0</v>
      </c>
      <c r="M63" s="45">
        <f t="shared" si="204"/>
        <v>0</v>
      </c>
      <c r="N63" s="45">
        <f t="shared" si="204"/>
        <v>0</v>
      </c>
    </row>
    <row r="64" spans="1:14">
      <c r="A64" s="42" t="s">
        <v>137</v>
      </c>
      <c r="B64" s="45">
        <f>+Historicals!B213</f>
        <v>0</v>
      </c>
      <c r="C64" s="45">
        <f>+Historicals!C213</f>
        <v>0</v>
      </c>
      <c r="D64" s="45">
        <f>+Historicals!D213</f>
        <v>0</v>
      </c>
      <c r="E64" s="45">
        <f>+Historicals!E213</f>
        <v>0</v>
      </c>
      <c r="F64" s="45">
        <f>+Historicals!F213</f>
        <v>0</v>
      </c>
      <c r="G64" s="45">
        <f>+Historicals!G213</f>
        <v>0</v>
      </c>
      <c r="H64" s="45">
        <f>+Historicals!H213</f>
        <v>0</v>
      </c>
      <c r="I64" s="45">
        <f>+Historicals!I213</f>
        <v>0</v>
      </c>
      <c r="J64" s="47">
        <v>0</v>
      </c>
      <c r="K64" s="47">
        <f t="shared" ref="K64:K65" si="205">+J64</f>
        <v>0</v>
      </c>
      <c r="L64" s="47">
        <f t="shared" ref="L64:L65" si="206">+K64</f>
        <v>0</v>
      </c>
      <c r="M64" s="47">
        <f t="shared" ref="M64:M65" si="207">+L64</f>
        <v>0</v>
      </c>
      <c r="N64" s="47">
        <f t="shared" ref="N64:N65" si="208">+M64</f>
        <v>0</v>
      </c>
    </row>
    <row r="65" spans="1:14">
      <c r="A65" s="42" t="s">
        <v>138</v>
      </c>
      <c r="B65" s="45" t="str">
        <f t="shared" ref="B65:H65" si="209">+IFERROR(B63-B64,"nm")</f>
        <v>nm</v>
      </c>
      <c r="C65" s="45">
        <f t="shared" si="209"/>
        <v>0.15384615384615374</v>
      </c>
      <c r="D65" s="45">
        <f t="shared" si="209"/>
        <v>-6.6666666666666652E-2</v>
      </c>
      <c r="E65" s="45">
        <f t="shared" si="209"/>
        <v>0</v>
      </c>
      <c r="F65" s="45">
        <f t="shared" si="209"/>
        <v>-0.1428571428571429</v>
      </c>
      <c r="G65" s="45">
        <f t="shared" si="209"/>
        <v>0.33333333333333326</v>
      </c>
      <c r="H65" s="45">
        <f t="shared" si="209"/>
        <v>0.4375</v>
      </c>
      <c r="I65" s="45">
        <f>+IFERROR(I63-I64,"nm")</f>
        <v>0.13043478260869557</v>
      </c>
      <c r="J65" s="47">
        <v>0</v>
      </c>
      <c r="K65" s="47">
        <f t="shared" si="205"/>
        <v>0</v>
      </c>
      <c r="L65" s="47">
        <f t="shared" si="206"/>
        <v>0</v>
      </c>
      <c r="M65" s="47">
        <f t="shared" si="207"/>
        <v>0</v>
      </c>
      <c r="N65" s="47">
        <f t="shared" si="208"/>
        <v>0</v>
      </c>
    </row>
    <row r="66" spans="1:14">
      <c r="A66" s="9" t="s">
        <v>130</v>
      </c>
      <c r="B66" s="46">
        <f>+B73+B69</f>
        <v>-2093</v>
      </c>
      <c r="C66" s="46">
        <f t="shared" ref="C66:H66" si="210">+C73+C69</f>
        <v>-2417</v>
      </c>
      <c r="D66" s="46">
        <f t="shared" si="210"/>
        <v>-2490</v>
      </c>
      <c r="E66" s="46">
        <f t="shared" si="210"/>
        <v>-2466</v>
      </c>
      <c r="F66" s="46">
        <f t="shared" si="210"/>
        <v>-3063</v>
      </c>
      <c r="G66" s="46">
        <f t="shared" si="210"/>
        <v>-3257</v>
      </c>
      <c r="H66" s="46">
        <f t="shared" si="210"/>
        <v>-3434</v>
      </c>
      <c r="I66" s="46">
        <f>+I73+I69</f>
        <v>-4042</v>
      </c>
      <c r="J66" s="46">
        <f>I66 * (1 + 17.7%)</f>
        <v>-4757.4340000000002</v>
      </c>
      <c r="K66" s="46">
        <f t="shared" ref="K66:N66" si="211">J66 * (1 + 17.7%)</f>
        <v>-5599.4998180000002</v>
      </c>
      <c r="L66" s="46">
        <f t="shared" si="211"/>
        <v>-6590.6112857860007</v>
      </c>
      <c r="M66" s="46">
        <f t="shared" si="211"/>
        <v>-7757.1494833701236</v>
      </c>
      <c r="N66" s="46">
        <f t="shared" si="211"/>
        <v>-9130.1649419266359</v>
      </c>
    </row>
    <row r="67" spans="1:14">
      <c r="A67" s="44" t="s">
        <v>129</v>
      </c>
      <c r="B67" s="45" t="str">
        <f t="shared" ref="B67" si="212">+IFERROR(B66/A66-1,"nm")</f>
        <v>nm</v>
      </c>
      <c r="C67" s="45">
        <f t="shared" ref="C67" si="213">+IFERROR(C66/B66-1,"nm")</f>
        <v>0.15480172001911141</v>
      </c>
      <c r="D67" s="45">
        <f t="shared" ref="D67" si="214">+IFERROR(D66/C66-1,"nm")</f>
        <v>3.0202730657840293E-2</v>
      </c>
      <c r="E67" s="45">
        <f t="shared" ref="E67" si="215">+IFERROR(E66/D66-1,"nm")</f>
        <v>-9.6385542168674343E-3</v>
      </c>
      <c r="F67" s="45">
        <f t="shared" ref="F67" si="216">+IFERROR(F66/E66-1,"nm")</f>
        <v>0.24209245742092467</v>
      </c>
      <c r="G67" s="45">
        <f t="shared" ref="G67" si="217">+IFERROR(G66/F66-1,"nm")</f>
        <v>6.3336598106431552E-2</v>
      </c>
      <c r="H67" s="45">
        <f t="shared" ref="H67" si="218">+IFERROR(H66/G66-1,"nm")</f>
        <v>5.4344488793368173E-2</v>
      </c>
      <c r="I67" s="45">
        <f>+IFERROR(I66/H66-1,"nm")</f>
        <v>0.1770529994175889</v>
      </c>
      <c r="J67" s="45">
        <f t="shared" ref="J67" si="219">+IFERROR(J66/I66-1,"nm")</f>
        <v>0.17700000000000005</v>
      </c>
      <c r="K67" s="45">
        <f t="shared" ref="K67" si="220">+IFERROR(K66/J66-1,"nm")</f>
        <v>0.17700000000000005</v>
      </c>
      <c r="L67" s="45">
        <f t="shared" ref="L67" si="221">+IFERROR(L66/K66-1,"nm")</f>
        <v>0.17700000000000005</v>
      </c>
      <c r="M67" s="45">
        <f t="shared" ref="M67" si="222">+IFERROR(M66/L66-1,"nm")</f>
        <v>0.17700000000000005</v>
      </c>
      <c r="N67" s="45">
        <f t="shared" ref="N67" si="223">+IFERROR(N66/M66-1,"nm")</f>
        <v>0.17700000000000005</v>
      </c>
    </row>
    <row r="68" spans="1:14">
      <c r="A68" s="44" t="s">
        <v>131</v>
      </c>
      <c r="B68" s="45">
        <f t="shared" ref="B68:H68" si="224">+IFERROR(B66/B$21,"nm")</f>
        <v>-0.15232896652110625</v>
      </c>
      <c r="C68" s="45">
        <f t="shared" si="224"/>
        <v>-0.16370902194527229</v>
      </c>
      <c r="D68" s="45">
        <f t="shared" si="224"/>
        <v>-0.1636435331230284</v>
      </c>
      <c r="E68" s="45">
        <f t="shared" si="224"/>
        <v>-0.16600471221810839</v>
      </c>
      <c r="F68" s="45">
        <f t="shared" si="224"/>
        <v>-0.19261728084517671</v>
      </c>
      <c r="G68" s="45">
        <f t="shared" si="224"/>
        <v>-0.22486882076774373</v>
      </c>
      <c r="H68" s="45">
        <f t="shared" si="224"/>
        <v>-0.19989522090924966</v>
      </c>
      <c r="I68" s="45">
        <f>+IFERROR(I66/I$21,"nm")</f>
        <v>-0.22023647360104615</v>
      </c>
      <c r="J68" s="47">
        <f>+I68</f>
        <v>-0.22023647360104615</v>
      </c>
      <c r="K68" s="47">
        <f t="shared" ref="K68" si="225">+J68</f>
        <v>-0.22023647360104615</v>
      </c>
      <c r="L68" s="47">
        <f t="shared" ref="L68" si="226">+K68</f>
        <v>-0.22023647360104615</v>
      </c>
      <c r="M68" s="47">
        <f t="shared" ref="M68" si="227">+L68</f>
        <v>-0.22023647360104615</v>
      </c>
      <c r="N68" s="47">
        <f t="shared" ref="N68" si="228">+M68</f>
        <v>-0.22023647360104615</v>
      </c>
    </row>
    <row r="69" spans="1:14">
      <c r="A69" s="9" t="s">
        <v>132</v>
      </c>
      <c r="B69" s="9">
        <f>+Historicals!B171</f>
        <v>170</v>
      </c>
      <c r="C69" s="9">
        <f>+Historicals!C171</f>
        <v>179</v>
      </c>
      <c r="D69" s="9">
        <f>+Historicals!D171</f>
        <v>187</v>
      </c>
      <c r="E69" s="9">
        <f>+Historicals!E171</f>
        <v>192</v>
      </c>
      <c r="F69" s="9">
        <f>+Historicals!F171</f>
        <v>199</v>
      </c>
      <c r="G69" s="9">
        <f>+Historicals!G171</f>
        <v>211</v>
      </c>
      <c r="H69" s="9">
        <f>+Historicals!H171</f>
        <v>222</v>
      </c>
      <c r="I69" s="9">
        <f>+Historicals!I171</f>
        <v>220</v>
      </c>
      <c r="J69" s="46">
        <f>I69 * (1 -0.9%)</f>
        <v>218.02</v>
      </c>
      <c r="K69" s="46">
        <f t="shared" ref="K69:N69" si="229">J69 * (1 -0.9%)</f>
        <v>216.05782000000002</v>
      </c>
      <c r="L69" s="46">
        <f t="shared" si="229"/>
        <v>214.11329962000002</v>
      </c>
      <c r="M69" s="46">
        <f t="shared" si="229"/>
        <v>212.18627992342002</v>
      </c>
      <c r="N69" s="46">
        <f t="shared" si="229"/>
        <v>210.27660340410924</v>
      </c>
    </row>
    <row r="70" spans="1:14">
      <c r="A70" s="44" t="s">
        <v>129</v>
      </c>
      <c r="B70" s="45" t="str">
        <f t="shared" ref="B70" si="230">+IFERROR(B69/A69-1,"nm")</f>
        <v>nm</v>
      </c>
      <c r="C70" s="45">
        <f t="shared" ref="C70" si="231">+IFERROR(C69/B69-1,"nm")</f>
        <v>5.2941176470588269E-2</v>
      </c>
      <c r="D70" s="45">
        <f t="shared" ref="D70" si="232">+IFERROR(D69/C69-1,"nm")</f>
        <v>4.4692737430167551E-2</v>
      </c>
      <c r="E70" s="45">
        <f t="shared" ref="E70" si="233">+IFERROR(E69/D69-1,"nm")</f>
        <v>2.673796791443861E-2</v>
      </c>
      <c r="F70" s="45">
        <f t="shared" ref="F70" si="234">+IFERROR(F69/E69-1,"nm")</f>
        <v>3.6458333333333259E-2</v>
      </c>
      <c r="G70" s="45">
        <f t="shared" ref="G70" si="235">+IFERROR(G69/F69-1,"nm")</f>
        <v>6.0301507537688481E-2</v>
      </c>
      <c r="H70" s="45">
        <f t="shared" ref="H70" si="236">+IFERROR(H69/G69-1,"nm")</f>
        <v>5.2132701421800931E-2</v>
      </c>
      <c r="I70" s="45">
        <f>+IFERROR(I69/H69-1,"nm")</f>
        <v>-9.009009009009028E-3</v>
      </c>
      <c r="J70" s="45">
        <f t="shared" ref="J70" si="237">+IFERROR(J69/I69-1,"nm")</f>
        <v>-9.000000000000008E-3</v>
      </c>
      <c r="K70" s="45">
        <f t="shared" ref="K70" si="238">+IFERROR(K69/J69-1,"nm")</f>
        <v>-8.999999999999897E-3</v>
      </c>
      <c r="L70" s="45">
        <f t="shared" ref="L70" si="239">+IFERROR(L69/K69-1,"nm")</f>
        <v>-9.000000000000008E-3</v>
      </c>
      <c r="M70" s="45">
        <f t="shared" ref="M70" si="240">+IFERROR(M69/L69-1,"nm")</f>
        <v>-9.000000000000008E-3</v>
      </c>
      <c r="N70" s="45">
        <f t="shared" ref="N70" si="241">+IFERROR(N69/M69-1,"nm")</f>
        <v>-9.000000000000008E-3</v>
      </c>
    </row>
    <row r="71" spans="1:14">
      <c r="A71" s="44" t="s">
        <v>133</v>
      </c>
      <c r="B71" s="45">
        <f t="shared" ref="B71:H71" si="242">+IFERROR(B69/B$21,"nm")</f>
        <v>1.2372634643377001E-2</v>
      </c>
      <c r="C71" s="45">
        <f t="shared" si="242"/>
        <v>1.2124085613654837E-2</v>
      </c>
      <c r="D71" s="45">
        <f t="shared" si="242"/>
        <v>1.2289695057833859E-2</v>
      </c>
      <c r="E71" s="45">
        <f t="shared" si="242"/>
        <v>1.2924941097273645E-2</v>
      </c>
      <c r="F71" s="45">
        <f t="shared" si="242"/>
        <v>1.2514149163627216E-2</v>
      </c>
      <c r="G71" s="45">
        <f t="shared" si="242"/>
        <v>1.4567798950566141E-2</v>
      </c>
      <c r="H71" s="45">
        <f t="shared" si="242"/>
        <v>1.2922754525874615E-2</v>
      </c>
      <c r="I71" s="45">
        <f>+IFERROR(I69/I$21,"nm")</f>
        <v>1.1987141066855556E-2</v>
      </c>
      <c r="J71" s="45">
        <f t="shared" ref="J71:N71" si="243">+IFERROR(J69/J$21,"nm")</f>
        <v>1.1122899622896868E-2</v>
      </c>
      <c r="K71" s="45">
        <f t="shared" si="243"/>
        <v>1.0320967721246065E-2</v>
      </c>
      <c r="L71" s="45">
        <f t="shared" si="243"/>
        <v>9.576853007261096E-3</v>
      </c>
      <c r="M71" s="45">
        <f t="shared" si="243"/>
        <v>8.8863870132918962E-3</v>
      </c>
      <c r="N71" s="45">
        <f t="shared" si="243"/>
        <v>8.2457018072774058E-3</v>
      </c>
    </row>
    <row r="72" spans="1:14">
      <c r="A72" s="44" t="s">
        <v>142</v>
      </c>
      <c r="B72" s="45">
        <f t="shared" ref="B72:H72" si="244">+IFERROR(B69/B79,"nm")</f>
        <v>0.21249999999999999</v>
      </c>
      <c r="C72" s="45">
        <f t="shared" si="244"/>
        <v>0.22098765432098766</v>
      </c>
      <c r="D72" s="45">
        <f t="shared" si="244"/>
        <v>0.22666666666666666</v>
      </c>
      <c r="E72" s="45">
        <f t="shared" si="244"/>
        <v>0.22588235294117648</v>
      </c>
      <c r="F72" s="45">
        <f t="shared" si="244"/>
        <v>0.22952710495963091</v>
      </c>
      <c r="G72" s="45">
        <f t="shared" si="244"/>
        <v>0.25421686746987954</v>
      </c>
      <c r="H72" s="45">
        <f t="shared" si="244"/>
        <v>0.2846153846153846</v>
      </c>
      <c r="I72" s="45">
        <f>+IFERROR(I69/I79,"nm")</f>
        <v>0.27883396704689478</v>
      </c>
      <c r="J72" s="47">
        <f>+I72</f>
        <v>0.27883396704689478</v>
      </c>
      <c r="K72" s="47">
        <f t="shared" ref="K72" si="245">+J72</f>
        <v>0.27883396704689478</v>
      </c>
      <c r="L72" s="47">
        <f t="shared" ref="L72" si="246">+K72</f>
        <v>0.27883396704689478</v>
      </c>
      <c r="M72" s="47">
        <f t="shared" ref="M72" si="247">+L72</f>
        <v>0.27883396704689478</v>
      </c>
      <c r="N72" s="47">
        <f t="shared" ref="N72" si="248">+M72</f>
        <v>0.27883396704689478</v>
      </c>
    </row>
    <row r="73" spans="1:14">
      <c r="A73" s="9" t="s">
        <v>134</v>
      </c>
      <c r="B73" s="9">
        <f>+Historicals!B138</f>
        <v>-2263</v>
      </c>
      <c r="C73" s="9">
        <f>+Historicals!C138</f>
        <v>-2596</v>
      </c>
      <c r="D73" s="9">
        <f>+Historicals!D138</f>
        <v>-2677</v>
      </c>
      <c r="E73" s="9">
        <f>+Historicals!E138</f>
        <v>-2658</v>
      </c>
      <c r="F73" s="9">
        <f>+Historicals!F138</f>
        <v>-3262</v>
      </c>
      <c r="G73" s="9">
        <f>+Historicals!G138</f>
        <v>-3468</v>
      </c>
      <c r="H73" s="9">
        <f>+Historicals!H138</f>
        <v>-3656</v>
      </c>
      <c r="I73" s="9">
        <f>+Historicals!I138</f>
        <v>-4262</v>
      </c>
      <c r="J73" s="9">
        <f>I73 * (1 + 16.6%)</f>
        <v>-4969.4919999999993</v>
      </c>
      <c r="K73" s="9">
        <f t="shared" ref="K73:N73" si="249">J73 * (1 + 16.6%)</f>
        <v>-5794.4276719999989</v>
      </c>
      <c r="L73" s="9">
        <f t="shared" si="249"/>
        <v>-6756.302665551998</v>
      </c>
      <c r="M73" s="9">
        <f t="shared" si="249"/>
        <v>-7877.8489080336294</v>
      </c>
      <c r="N73" s="9">
        <f t="shared" si="249"/>
        <v>-9185.571826767211</v>
      </c>
    </row>
    <row r="74" spans="1:14">
      <c r="A74" s="44" t="s">
        <v>129</v>
      </c>
      <c r="B74" s="45" t="str">
        <f t="shared" ref="B74" si="250">+IFERROR(B73/A73-1,"nm")</f>
        <v>nm</v>
      </c>
      <c r="C74" s="45">
        <f t="shared" ref="C74" si="251">+IFERROR(C73/B73-1,"nm")</f>
        <v>0.1471498011489174</v>
      </c>
      <c r="D74" s="45">
        <f t="shared" ref="D74" si="252">+IFERROR(D73/C73-1,"nm")</f>
        <v>3.1201848998459125E-2</v>
      </c>
      <c r="E74" s="45">
        <f t="shared" ref="E74" si="253">+IFERROR(E73/D73-1,"nm")</f>
        <v>-7.097497198356395E-3</v>
      </c>
      <c r="F74" s="45">
        <f t="shared" ref="F74" si="254">+IFERROR(F73/E73-1,"nm")</f>
        <v>0.22723852520692245</v>
      </c>
      <c r="G74" s="45">
        <f t="shared" ref="G74" si="255">+IFERROR(G73/F73-1,"nm")</f>
        <v>6.3151440833844275E-2</v>
      </c>
      <c r="H74" s="45">
        <f t="shared" ref="H74" si="256">+IFERROR(H73/G73-1,"nm")</f>
        <v>5.4209919261822392E-2</v>
      </c>
      <c r="I74" s="45">
        <f>+IFERROR(I73/H73-1,"nm")</f>
        <v>0.16575492341356668</v>
      </c>
      <c r="J74" s="45">
        <f t="shared" ref="J74" si="257">+IFERROR(J73/I73-1,"nm")</f>
        <v>0.16599999999999993</v>
      </c>
      <c r="K74" s="45">
        <f t="shared" ref="K74" si="258">+IFERROR(K73/J73-1,"nm")</f>
        <v>0.16599999999999993</v>
      </c>
      <c r="L74" s="45">
        <f t="shared" ref="L74" si="259">+IFERROR(L73/K73-1,"nm")</f>
        <v>0.16599999999999993</v>
      </c>
      <c r="M74" s="45">
        <f t="shared" ref="M74" si="260">+IFERROR(M73/L73-1,"nm")</f>
        <v>0.16599999999999993</v>
      </c>
      <c r="N74" s="45">
        <f t="shared" ref="N74" si="261">+IFERROR(N73/M73-1,"nm")</f>
        <v>0.16599999999999993</v>
      </c>
    </row>
    <row r="75" spans="1:14">
      <c r="A75" s="44" t="s">
        <v>131</v>
      </c>
      <c r="B75" s="45">
        <f t="shared" ref="B75:H75" si="262">+IFERROR(B73/B$21,"nm")</f>
        <v>-0.16470160116448326</v>
      </c>
      <c r="C75" s="45">
        <f t="shared" si="262"/>
        <v>-0.17583310755892712</v>
      </c>
      <c r="D75" s="45">
        <f t="shared" si="262"/>
        <v>-0.17593322818086224</v>
      </c>
      <c r="E75" s="45">
        <f t="shared" si="262"/>
        <v>-0.17892965331538202</v>
      </c>
      <c r="F75" s="45">
        <f t="shared" si="262"/>
        <v>-0.20513143000880393</v>
      </c>
      <c r="G75" s="45">
        <f t="shared" si="262"/>
        <v>-0.23943661971830985</v>
      </c>
      <c r="H75" s="45">
        <f t="shared" si="262"/>
        <v>-0.21281797543512429</v>
      </c>
      <c r="I75" s="45">
        <f>+IFERROR(I73/I$21,"nm")</f>
        <v>-0.2322236146679017</v>
      </c>
      <c r="J75" s="45">
        <f t="shared" ref="J75:N75" si="263">+IFERROR(J73/J$21,"nm")</f>
        <v>-0.25353252312993757</v>
      </c>
      <c r="K75" s="45">
        <f t="shared" si="263"/>
        <v>-0.27679674341714161</v>
      </c>
      <c r="L75" s="45">
        <f t="shared" si="263"/>
        <v>-0.30219569552845232</v>
      </c>
      <c r="M75" s="45">
        <f t="shared" si="263"/>
        <v>-0.32992526309566977</v>
      </c>
      <c r="N75" s="45">
        <f t="shared" si="263"/>
        <v>-0.36019930409133982</v>
      </c>
    </row>
    <row r="76" spans="1:14">
      <c r="A76" s="9" t="s">
        <v>135</v>
      </c>
      <c r="B76" s="9">
        <f>+Historicals!B187</f>
        <v>0</v>
      </c>
      <c r="C76" s="9">
        <f>+Historicals!C187</f>
        <v>0.23400000000000001</v>
      </c>
      <c r="D76" s="9">
        <f>+Historicals!D187</f>
        <v>0.11899999999999999</v>
      </c>
      <c r="E76" s="9">
        <f>+Historicals!E187</f>
        <v>0.21199999999999999</v>
      </c>
      <c r="F76" s="9">
        <f>+Historicals!F187</f>
        <v>0.21</v>
      </c>
      <c r="G76" s="9">
        <f>+Historicals!G187</f>
        <v>7.5999999999999998E-2</v>
      </c>
      <c r="H76" s="9">
        <f>+Historicals!H187</f>
        <v>0.24099999999999999</v>
      </c>
      <c r="I76" s="9">
        <f>+Historicals!I187</f>
        <v>-0.13</v>
      </c>
      <c r="J76" s="46">
        <f>+J52*J78</f>
        <v>3.5200455511360536E-2</v>
      </c>
      <c r="K76" s="46">
        <f t="shared" ref="K76:N76" si="264">+K52*K78</f>
        <v>4.1043731126246388E-2</v>
      </c>
      <c r="L76" s="46">
        <f t="shared" si="264"/>
        <v>4.7856990493203279E-2</v>
      </c>
      <c r="M76" s="46">
        <f t="shared" si="264"/>
        <v>5.5801250915075019E-2</v>
      </c>
      <c r="N76" s="46">
        <f t="shared" si="264"/>
        <v>6.5064258566977465E-2</v>
      </c>
    </row>
    <row r="77" spans="1:14">
      <c r="A77" s="44" t="s">
        <v>129</v>
      </c>
      <c r="B77" s="45" t="str">
        <f t="shared" ref="B77" si="265">+IFERROR(B76/A76-1,"nm")</f>
        <v>nm</v>
      </c>
      <c r="C77" s="45" t="str">
        <f t="shared" ref="C77" si="266">+IFERROR(C76/B76-1,"nm")</f>
        <v>nm</v>
      </c>
      <c r="D77" s="45">
        <f t="shared" ref="D77" si="267">+IFERROR(D76/C76-1,"nm")</f>
        <v>-0.49145299145299148</v>
      </c>
      <c r="E77" s="45">
        <f t="shared" ref="E77" si="268">+IFERROR(E76/D76-1,"nm")</f>
        <v>0.78151260504201692</v>
      </c>
      <c r="F77" s="45">
        <f t="shared" ref="F77" si="269">+IFERROR(F76/E76-1,"nm")</f>
        <v>-9.4339622641509413E-3</v>
      </c>
      <c r="G77" s="45">
        <f t="shared" ref="G77" si="270">+IFERROR(G76/F76-1,"nm")</f>
        <v>-0.63809523809523805</v>
      </c>
      <c r="H77" s="45">
        <f t="shared" ref="H77" si="271">+IFERROR(H76/G76-1,"nm")</f>
        <v>2.1710526315789473</v>
      </c>
      <c r="I77" s="45">
        <f>+IFERROR(I76/H76-1,"nm")</f>
        <v>-1.5394190871369295</v>
      </c>
      <c r="J77" s="45">
        <f t="shared" ref="J77" si="272">+IFERROR(J76/I76-1,"nm")</f>
        <v>-1.2707727347027733</v>
      </c>
      <c r="K77" s="45">
        <f t="shared" ref="K77" si="273">+IFERROR(K76/J76-1,"nm")</f>
        <v>0.16600000000000015</v>
      </c>
      <c r="L77" s="45">
        <f t="shared" ref="L77" si="274">+IFERROR(L76/K76-1,"nm")</f>
        <v>0.1659999999999997</v>
      </c>
      <c r="M77" s="45">
        <f t="shared" ref="M77" si="275">+IFERROR(M76/L76-1,"nm")</f>
        <v>0.16599999999999993</v>
      </c>
      <c r="N77" s="45">
        <f t="shared" ref="N77" si="276">+IFERROR(N76/M76-1,"nm")</f>
        <v>0.16599999999999993</v>
      </c>
    </row>
    <row r="78" spans="1:14">
      <c r="A78" s="44" t="s">
        <v>133</v>
      </c>
      <c r="B78" s="45">
        <f t="shared" ref="B78:H78" si="277">+IFERROR(B76/B$21,"nm")</f>
        <v>0</v>
      </c>
      <c r="C78" s="45">
        <f t="shared" si="277"/>
        <v>1.5849363316174478E-5</v>
      </c>
      <c r="D78" s="45">
        <f t="shared" si="277"/>
        <v>7.8207150368033653E-6</v>
      </c>
      <c r="E78" s="45">
        <f t="shared" si="277"/>
        <v>1.427128912823965E-5</v>
      </c>
      <c r="F78" s="45">
        <f t="shared" si="277"/>
        <v>1.3205886052068921E-5</v>
      </c>
      <c r="G78" s="45">
        <f t="shared" si="277"/>
        <v>5.2471692902513118E-6</v>
      </c>
      <c r="H78" s="45">
        <f t="shared" si="277"/>
        <v>1.4028756039350369E-5</v>
      </c>
      <c r="I78" s="45">
        <f>+IFERROR(I76/I$21,"nm")</f>
        <v>-7.0833106304146466E-6</v>
      </c>
      <c r="J78" s="47">
        <f>+I78</f>
        <v>-7.0833106304146466E-6</v>
      </c>
      <c r="K78" s="47">
        <f t="shared" ref="K78" si="278">+J78</f>
        <v>-7.0833106304146466E-6</v>
      </c>
      <c r="L78" s="47">
        <f t="shared" ref="L78" si="279">+K78</f>
        <v>-7.0833106304146466E-6</v>
      </c>
      <c r="M78" s="47">
        <f t="shared" ref="M78" si="280">+L78</f>
        <v>-7.0833106304146466E-6</v>
      </c>
      <c r="N78" s="47">
        <f t="shared" ref="N78" si="281">+M78</f>
        <v>-7.0833106304146466E-6</v>
      </c>
    </row>
    <row r="79" spans="1:14">
      <c r="A79" s="9" t="s">
        <v>143</v>
      </c>
      <c r="B79" s="9">
        <f>+Historicals!B149</f>
        <v>800</v>
      </c>
      <c r="C79" s="9">
        <f>+Historicals!C149</f>
        <v>810</v>
      </c>
      <c r="D79" s="9">
        <f>+Historicals!D149</f>
        <v>825</v>
      </c>
      <c r="E79" s="9">
        <f>+Historicals!E149</f>
        <v>850</v>
      </c>
      <c r="F79" s="9">
        <f>+Historicals!F149</f>
        <v>867</v>
      </c>
      <c r="G79" s="9">
        <f>+Historicals!G149</f>
        <v>830</v>
      </c>
      <c r="H79" s="9">
        <f>+Historicals!H149</f>
        <v>780</v>
      </c>
      <c r="I79" s="9">
        <f>+Historicals!I149</f>
        <v>789</v>
      </c>
      <c r="J79" s="46">
        <f>I79 * (1 + 1.2%)</f>
        <v>798.46799999999996</v>
      </c>
      <c r="K79" s="46">
        <f t="shared" ref="K79:N79" si="282">J79 * (1 + 1.2%)</f>
        <v>808.04961600000001</v>
      </c>
      <c r="L79" s="46">
        <f t="shared" si="282"/>
        <v>817.74621139200008</v>
      </c>
      <c r="M79" s="46">
        <f t="shared" si="282"/>
        <v>827.55916592870403</v>
      </c>
      <c r="N79" s="46">
        <f t="shared" si="282"/>
        <v>837.48987591984849</v>
      </c>
    </row>
    <row r="80" spans="1:14">
      <c r="A80" s="44" t="s">
        <v>129</v>
      </c>
      <c r="B80" s="45" t="str">
        <f t="shared" ref="B80" si="283">+IFERROR(B79/A79-1,"nm")</f>
        <v>nm</v>
      </c>
      <c r="C80" s="45">
        <f t="shared" ref="C80" si="284">+IFERROR(C79/B79-1,"nm")</f>
        <v>1.2499999999999956E-2</v>
      </c>
      <c r="D80" s="45">
        <f t="shared" ref="D80" si="285">+IFERROR(D79/C79-1,"nm")</f>
        <v>1.8518518518518601E-2</v>
      </c>
      <c r="E80" s="45">
        <f t="shared" ref="E80" si="286">+IFERROR(E79/D79-1,"nm")</f>
        <v>3.0303030303030276E-2</v>
      </c>
      <c r="F80" s="45">
        <f t="shared" ref="F80" si="287">+IFERROR(F79/E79-1,"nm")</f>
        <v>2.0000000000000018E-2</v>
      </c>
      <c r="G80" s="45">
        <f t="shared" ref="G80" si="288">+IFERROR(G79/F79-1,"nm")</f>
        <v>-4.2675893886966576E-2</v>
      </c>
      <c r="H80" s="45">
        <f t="shared" ref="H80" si="289">+IFERROR(H79/G79-1,"nm")</f>
        <v>-6.0240963855421659E-2</v>
      </c>
      <c r="I80" s="45">
        <f>+IFERROR(I79/H79-1,"nm")</f>
        <v>1.1538461538461497E-2</v>
      </c>
      <c r="J80" s="45">
        <f>+J81+J82</f>
        <v>4.2990246826131964E-2</v>
      </c>
      <c r="K80" s="45">
        <f t="shared" ref="K80:N80" si="290">+K81+K82</f>
        <v>4.2990246826131964E-2</v>
      </c>
      <c r="L80" s="45">
        <f t="shared" si="290"/>
        <v>4.2990246826131964E-2</v>
      </c>
      <c r="M80" s="45">
        <f t="shared" si="290"/>
        <v>4.2990246826131964E-2</v>
      </c>
      <c r="N80" s="45">
        <f t="shared" si="290"/>
        <v>4.2990246826131964E-2</v>
      </c>
    </row>
    <row r="81" spans="1:14">
      <c r="A81" s="44" t="s">
        <v>133</v>
      </c>
      <c r="B81" s="45">
        <f t="shared" ref="B81:H81" si="291">+IFERROR(B79/B$21,"nm")</f>
        <v>5.8224163027656477E-2</v>
      </c>
      <c r="C81" s="45">
        <f t="shared" si="291"/>
        <v>5.486318070983473E-2</v>
      </c>
      <c r="D81" s="45">
        <f t="shared" si="291"/>
        <v>5.4219242902208205E-2</v>
      </c>
      <c r="E81" s="45">
        <f t="shared" si="291"/>
        <v>5.7219791316055202E-2</v>
      </c>
      <c r="F81" s="45">
        <f t="shared" si="291"/>
        <v>5.4521443843541691E-2</v>
      </c>
      <c r="G81" s="45">
        <f t="shared" si="291"/>
        <v>5.7304611985639325E-2</v>
      </c>
      <c r="H81" s="45">
        <f t="shared" si="291"/>
        <v>4.5404272658478372E-2</v>
      </c>
      <c r="I81" s="45">
        <f>+IFERROR(I79/I$21,"nm")</f>
        <v>4.2990246826131964E-2</v>
      </c>
      <c r="J81" s="47">
        <f>+I81</f>
        <v>4.2990246826131964E-2</v>
      </c>
      <c r="K81" s="47">
        <f t="shared" ref="K81" si="292">+J81</f>
        <v>4.2990246826131964E-2</v>
      </c>
      <c r="L81" s="47">
        <f t="shared" ref="L81" si="293">+K81</f>
        <v>4.2990246826131964E-2</v>
      </c>
      <c r="M81" s="47">
        <f t="shared" ref="M81" si="294">+L81</f>
        <v>4.2990246826131964E-2</v>
      </c>
      <c r="N81" s="47">
        <f t="shared" ref="N81" si="295">+M81</f>
        <v>4.2990246826131964E-2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João Azevedo</cp:lastModifiedBy>
  <dcterms:created xsi:type="dcterms:W3CDTF">2020-05-20T17:26:08Z</dcterms:created>
  <dcterms:modified xsi:type="dcterms:W3CDTF">2024-10-10T17:32:57Z</dcterms:modified>
</cp:coreProperties>
</file>