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uill Capital Partners - Investment Analyst's Programme\"/>
    </mc:Choice>
  </mc:AlternateContent>
  <xr:revisionPtr revIDLastSave="0" documentId="13_ncr:1_{E6080F5F-1AD1-4D9C-8E90-37305E23D6B9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List of Ratios Calculation" sheetId="5" r:id="rId4"/>
    <sheet name="Growth Rates Calculation" sheetId="6" r:id="rId5"/>
    <sheet name="margins  as a % of net sales" sheetId="8" r:id="rId6"/>
    <sheet name="Additional Item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9" l="1"/>
  <c r="E19" i="9"/>
  <c r="C19" i="9"/>
  <c r="D18" i="9"/>
  <c r="E18" i="9"/>
  <c r="C18" i="9"/>
  <c r="E16" i="9"/>
  <c r="D16" i="9"/>
  <c r="C16" i="9"/>
  <c r="H11" i="8"/>
  <c r="H13" i="8"/>
  <c r="H14" i="8"/>
  <c r="H15" i="8"/>
  <c r="H16" i="8"/>
  <c r="H10" i="8"/>
  <c r="G11" i="8"/>
  <c r="G13" i="8"/>
  <c r="G14" i="8"/>
  <c r="G15" i="8"/>
  <c r="G16" i="8"/>
  <c r="G10" i="8"/>
  <c r="F11" i="8"/>
  <c r="F13" i="8"/>
  <c r="F14" i="8"/>
  <c r="F15" i="8"/>
  <c r="F16" i="8"/>
  <c r="F10" i="8"/>
  <c r="I9" i="6"/>
  <c r="J9" i="6"/>
  <c r="I10" i="6"/>
  <c r="J10" i="6"/>
  <c r="I11" i="6"/>
  <c r="J11" i="6"/>
  <c r="I12" i="6"/>
  <c r="J12" i="6"/>
  <c r="I13" i="6"/>
  <c r="J13" i="6"/>
  <c r="I14" i="6"/>
  <c r="J14" i="6"/>
  <c r="I16" i="6"/>
  <c r="J16" i="6"/>
  <c r="I17" i="6"/>
  <c r="J17" i="6"/>
  <c r="I18" i="6"/>
  <c r="J18" i="6"/>
  <c r="I20" i="6"/>
  <c r="J20" i="6"/>
  <c r="I21" i="6"/>
  <c r="J21" i="6"/>
  <c r="I22" i="6"/>
  <c r="J22" i="6"/>
  <c r="I24" i="6"/>
  <c r="J24" i="6"/>
  <c r="J8" i="6"/>
  <c r="I8" i="6"/>
  <c r="G10" i="6"/>
  <c r="H10" i="6"/>
  <c r="F10" i="6"/>
  <c r="B8" i="1"/>
  <c r="C8" i="1"/>
  <c r="D8" i="1"/>
  <c r="D37" i="5"/>
  <c r="E37" i="5"/>
  <c r="C37" i="5"/>
  <c r="D44" i="5" l="1"/>
  <c r="E44" i="5"/>
  <c r="C44" i="5"/>
  <c r="D48" i="5"/>
  <c r="E48" i="5"/>
  <c r="C48" i="5"/>
  <c r="D49" i="5"/>
  <c r="E49" i="5"/>
  <c r="C49" i="5"/>
  <c r="D47" i="5"/>
  <c r="E47" i="5"/>
  <c r="C47" i="5"/>
  <c r="C36" i="5"/>
  <c r="C9" i="5" s="1"/>
  <c r="D36" i="5"/>
  <c r="D9" i="5" s="1"/>
  <c r="D35" i="5"/>
  <c r="E35" i="5"/>
  <c r="C35" i="5"/>
  <c r="D34" i="5"/>
  <c r="E34" i="5"/>
  <c r="C34" i="5"/>
  <c r="D29" i="5"/>
  <c r="E29" i="5"/>
  <c r="C29" i="5"/>
  <c r="D28" i="5"/>
  <c r="E28" i="5"/>
  <c r="F114" i="1"/>
  <c r="C28" i="5"/>
  <c r="D27" i="5"/>
  <c r="E27" i="5"/>
  <c r="C27" i="5"/>
  <c r="D26" i="5"/>
  <c r="E26" i="5"/>
  <c r="C26" i="5"/>
  <c r="D25" i="5"/>
  <c r="E25" i="5"/>
  <c r="C25" i="5"/>
  <c r="D18" i="5"/>
  <c r="E18" i="5"/>
  <c r="C18" i="5"/>
  <c r="D20" i="5"/>
  <c r="E20" i="5"/>
  <c r="C20" i="5"/>
  <c r="D17" i="5"/>
  <c r="E17" i="5"/>
  <c r="C17" i="5"/>
  <c r="D22" i="5"/>
  <c r="E22" i="5"/>
  <c r="C22" i="5"/>
  <c r="D11" i="5"/>
  <c r="E11" i="5"/>
  <c r="C11" i="5"/>
  <c r="D10" i="5"/>
  <c r="E10" i="5"/>
  <c r="C10" i="5"/>
  <c r="C5" i="5"/>
  <c r="E36" i="5"/>
  <c r="E9" i="5" s="1"/>
  <c r="E12" i="5" s="1"/>
  <c r="C14" i="5"/>
  <c r="C13" i="5" s="1"/>
  <c r="D14" i="5"/>
  <c r="D13" i="5" s="1"/>
  <c r="E14" i="5"/>
  <c r="E13" i="5" s="1"/>
  <c r="D8" i="5"/>
  <c r="E8" i="5"/>
  <c r="C8" i="5"/>
  <c r="D5" i="5"/>
  <c r="E5" i="5"/>
  <c r="D6" i="5"/>
  <c r="E6" i="5"/>
  <c r="D7" i="5"/>
  <c r="E7" i="5"/>
  <c r="C7" i="5"/>
  <c r="C6" i="5"/>
  <c r="A47" i="5"/>
  <c r="A49" i="5" s="1"/>
  <c r="A16" i="5"/>
  <c r="A17" i="5" s="1"/>
  <c r="A18" i="5" s="1"/>
  <c r="A20" i="5" s="1"/>
  <c r="A22" i="5" s="1"/>
  <c r="A5" i="5"/>
  <c r="A6" i="5" s="1"/>
  <c r="A7" i="5" s="1"/>
  <c r="A8" i="5" s="1"/>
  <c r="A9" i="5" s="1"/>
  <c r="A10" i="5" s="1"/>
  <c r="A11" i="5" s="1"/>
  <c r="A12" i="5" s="1"/>
  <c r="A13" i="5" s="1"/>
  <c r="E3" i="5"/>
  <c r="D3" i="5"/>
  <c r="C3" i="5"/>
  <c r="D108" i="1"/>
  <c r="C108" i="1"/>
  <c r="B108" i="1"/>
  <c r="D99" i="1"/>
  <c r="C99" i="1"/>
  <c r="B99" i="1"/>
  <c r="A24" i="5" l="1"/>
  <c r="D12" i="5"/>
  <c r="C12" i="5"/>
  <c r="D68" i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C13" i="1"/>
  <c r="E3" i="3"/>
  <c r="D3" i="3"/>
  <c r="C3" i="3"/>
  <c r="D33" i="1"/>
  <c r="D73" i="1" s="1"/>
  <c r="C33" i="1"/>
  <c r="C73" i="1" s="1"/>
  <c r="B33" i="1"/>
  <c r="B73" i="1" s="1"/>
  <c r="A25" i="5" l="1"/>
  <c r="A26" i="5" s="1"/>
  <c r="A27" i="5" s="1"/>
  <c r="A28" i="5" s="1"/>
  <c r="A29" i="5" s="1"/>
  <c r="A30" i="5" s="1"/>
  <c r="A33" i="5"/>
  <c r="C18" i="1"/>
  <c r="C20" i="1" s="1"/>
  <c r="C22" i="1" s="1"/>
  <c r="C76" i="1" s="1"/>
  <c r="C91" i="1" s="1"/>
  <c r="C109" i="1" s="1"/>
  <c r="C62" i="1"/>
  <c r="B13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9" i="5" l="1"/>
  <c r="A40" i="5" s="1"/>
  <c r="A41" i="5" s="1"/>
  <c r="A42" i="5" s="1"/>
  <c r="A43" i="5" s="1"/>
  <c r="A44" i="5" s="1"/>
  <c r="A46" i="5" s="1"/>
  <c r="A48" i="5" s="1"/>
  <c r="A50" i="5" s="1"/>
  <c r="A34" i="5"/>
  <c r="A35" i="5" s="1"/>
  <c r="A36" i="5" s="1"/>
  <c r="A37" i="5" s="1"/>
  <c r="A24" i="3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<sst xmlns="http://schemas.openxmlformats.org/spreadsheetml/2006/main" count="297" uniqueCount="161">
  <si>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</si>
  <si>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</si>
  <si>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</si>
  <si>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</si>
  <si>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</si>
  <si>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</si>
  <si>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</si>
  <si>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</si>
  <si>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</si>
  <si>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</si>
  <si>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</si>
  <si>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</si>
  <si>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</si>
  <si>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</si>
  <si>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</si>
  <si>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</si>
  <si>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</si>
  <si>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</si>
  <si>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</si>
  <si>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</si>
  <si>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</si>
  <si>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</si>
  <si>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</si>
  <si>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</si>
  <si>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</si>
  <si>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</si>
  <si>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</si>
  <si>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</si>
  <si>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</si>
  <si>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</si>
  <si>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</si>
  <si>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</si>
  <si>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</si>
  <si>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</si>
  <si>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</si>
  <si>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</si>
  <si>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</si>
  <si>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</si>
  <si>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</si>
  <si>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</si>
  <si>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</si>
  <si>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</si>
  <si>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</si>
  <si>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</si>
  <si>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</si>
  <si>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</si>
  <si>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</si>
  <si>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</si>
  <si>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</si>
  <si>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</si>
  <si>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</si>
  <si>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</si>
  <si>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</si>
  <si>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</si>
  <si>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</si>
  <si>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</si>
  <si>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</si>
  <si>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</si>
  <si>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</si>
  <si>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</si>
  <si>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</si>
  <si>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</si>
  <si>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</si>
  <si>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</si>
  <si>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</si>
  <si>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</si>
  <si>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</si>
  <si>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</si>
  <si>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</si>
  <si>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</si>
  <si>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</si>
  <si>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</si>
  <si>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</si>
  <si>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</si>
  <si>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</si>
  <si>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</si>
  <si>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</si>
  <si>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</si>
  <si>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</si>
  <si>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</si>
  <si>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</si>
  <si>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</si>
  <si>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</si>
  <si>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</si>
  <si>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</si>
  <si>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</si>
  <si>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</si>
  <si>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</si>
  <si>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</si>
  <si>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</si>
  <si>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</si>
  <si>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</si>
  <si>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</si>
  <si>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</si>
  <si>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</si>
  <si>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</si>
  <si>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</si>
  <si>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</si>
  <si>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</si>
  <si>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</si>
  <si>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</si>
  <si>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</si>
  <si>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</si>
  <si>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</si>
  <si>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</si>
  <si>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</si>
  <si>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</si>
  <si>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</si>
  <si>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</si>
  <si>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</si>
  <si>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</si>
  <si>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</si>
  <si>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</si>
  <si>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</si>
  <si>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</si>
  <si>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</si>
  <si>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</si>
  <si>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</si>
  <si>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</si>
  <si>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</si>
  <si>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</si>
  <si>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</si>
  <si>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</si>
  <si>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</si>
  <si>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</si>
  <si>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</si>
  <si>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</si>
  <si>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</si>
  <si>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</si>
  <si>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</si>
  <si>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</si>
  <si>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</si>
  <si>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</si>
  <si>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</si>
  <si>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</si>
  <si>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</si>
  <si>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</si>
  <si>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</si>
  <si>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</si>
  <si>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</si>
  <si>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</si>
  <si>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</si>
  <si>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</si>
  <si>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</si>
  <si>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</si>
  <si>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</si>
  <si>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</si>
  <si>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</si>
  <si>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</si>
  <si>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</si>
  <si>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days</t>
  </si>
  <si>
    <t>x</t>
  </si>
  <si>
    <t>Unit</t>
  </si>
  <si>
    <t>%</t>
  </si>
  <si>
    <t>-</t>
  </si>
  <si>
    <r>
      <t>2022 - YoY</t>
    </r>
    <r>
      <rPr>
        <b/>
        <sz val="11"/>
        <color theme="1"/>
        <rFont val="Calibri"/>
        <family val="2"/>
      </rPr>
      <t>∆</t>
    </r>
  </si>
  <si>
    <r>
      <t>2021 - YoY</t>
    </r>
    <r>
      <rPr>
        <b/>
        <sz val="11"/>
        <color theme="1"/>
        <rFont val="Calibri"/>
        <family val="2"/>
      </rPr>
      <t>∆</t>
    </r>
  </si>
  <si>
    <t>Each operating expenses:</t>
  </si>
  <si>
    <t>Margins</t>
  </si>
  <si>
    <t>CAPEX = Ending PPE - Beginning PPE + Depreciation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</si>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</sst>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&quot;£&quot;#,##0.00;[Red]&quot;£&quot;#,##0.00"/>
    <numFmt numFmtId="168" formatCode="0.00;[Red]0.00"/>
    <numFmt numFmtId="169" formatCode="&quot;£&quot;#,##0.00"/>
    <numFmt numFmtId="174" formatCode="[$£-809]#,##0;\-[$£-809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11111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D4D4D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7" fontId="0" fillId="0" borderId="0" xfId="0" applyNumberFormat="1"/>
    <xf numFmtId="10" fontId="0" fillId="0" borderId="0" xfId="3" applyNumberFormat="1" applyFont="1"/>
    <xf numFmtId="10" fontId="8" fillId="0" borderId="0" xfId="3" applyNumberFormat="1" applyFont="1"/>
    <xf numFmtId="0" fontId="9" fillId="5" borderId="4" xfId="0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3" fontId="9" fillId="6" borderId="4" xfId="0" applyNumberFormat="1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3" fontId="9" fillId="5" borderId="0" xfId="0" applyNumberFormat="1" applyFont="1" applyFill="1" applyAlignment="1">
      <alignment horizontal="left" vertical="center" wrapText="1"/>
    </xf>
    <xf numFmtId="168" fontId="0" fillId="0" borderId="0" xfId="0" applyNumberFormat="1"/>
    <xf numFmtId="9" fontId="0" fillId="0" borderId="0" xfId="3" applyFont="1"/>
    <xf numFmtId="169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1" applyFont="1" applyAlignment="1">
      <alignment vertical="top"/>
    </xf>
    <xf numFmtId="165" fontId="0" fillId="0" borderId="0" xfId="1" applyNumberFormat="1" applyFont="1" applyAlignment="1">
      <alignment vertical="top"/>
    </xf>
    <xf numFmtId="0" fontId="0" fillId="0" borderId="0" xfId="0" applyAlignment="1"/>
    <xf numFmtId="10" fontId="0" fillId="0" borderId="0" xfId="3" applyNumberFormat="1" applyFont="1" applyAlignment="1">
      <alignment vertical="top"/>
    </xf>
    <xf numFmtId="174" fontId="2" fillId="0" borderId="0" xfId="0" applyNumberFormat="1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6" workbookViewId="0">
      <selection activeCell="A22" sqref="A22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3" workbookViewId="0">
      <selection activeCell="A47" sqref="A47:D4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10" max="10" width="10.777343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9" t="s">
        <v>1</v>
      </c>
      <c r="B2" s="39"/>
      <c r="C2" s="39"/>
      <c r="D2" s="39"/>
    </row>
    <row r="3" spans="1:10" x14ac:dyDescent="0.3">
      <c r="B3" s="38" t="s">
        <v>23</v>
      </c>
      <c r="C3" s="38"/>
      <c r="D3" s="3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9" t="s">
        <v>24</v>
      </c>
      <c r="B31" s="39"/>
      <c r="C31" s="39"/>
      <c r="D31" s="39"/>
    </row>
    <row r="32" spans="1:4" x14ac:dyDescent="0.3">
      <c r="B32" s="38" t="s">
        <v>142</v>
      </c>
      <c r="C32" s="38"/>
      <c r="D32" s="38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9" t="s">
        <v>55</v>
      </c>
      <c r="B71" s="39"/>
      <c r="C71" s="39"/>
      <c r="D71" s="39"/>
    </row>
    <row r="72" spans="1:4" x14ac:dyDescent="0.3">
      <c r="B72" s="38" t="s">
        <v>23</v>
      </c>
      <c r="C72" s="38"/>
      <c r="D72" s="38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8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8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8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8" x14ac:dyDescent="0.3">
      <c r="A100" s="7" t="s">
        <v>71</v>
      </c>
      <c r="B100" s="12"/>
      <c r="C100" s="12"/>
      <c r="D100" s="12"/>
    </row>
    <row r="101" spans="1:8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8" x14ac:dyDescent="0.3">
      <c r="A102" s="1" t="s">
        <v>72</v>
      </c>
      <c r="B102" s="12">
        <v>-14841</v>
      </c>
      <c r="C102" s="12">
        <v>-14467</v>
      </c>
      <c r="D102" s="12">
        <v>-14081</v>
      </c>
      <c r="H102" s="25"/>
    </row>
    <row r="103" spans="1:8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8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8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8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8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8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8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8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8" ht="15" thickTop="1" x14ac:dyDescent="0.3">
      <c r="B111" s="12"/>
      <c r="C111" s="12"/>
      <c r="D111" s="12"/>
    </row>
    <row r="112" spans="1:8" x14ac:dyDescent="0.3">
      <c r="A112" t="s">
        <v>80</v>
      </c>
      <c r="B112" s="12"/>
      <c r="C112" s="12"/>
      <c r="D112" s="12"/>
    </row>
    <row r="113" spans="1:6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6" x14ac:dyDescent="0.3">
      <c r="A114" t="s">
        <v>82</v>
      </c>
      <c r="B114" s="12">
        <v>2865</v>
      </c>
      <c r="C114" s="12">
        <v>2687</v>
      </c>
      <c r="D114" s="12">
        <v>3002</v>
      </c>
      <c r="F114" s="37">
        <f>SUM(B113:B114)</f>
        <v>22438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H30" sqref="H30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8" t="s">
        <v>23</v>
      </c>
      <c r="D2" s="38"/>
      <c r="E2" s="38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</row>
    <row r="6" spans="1:10" x14ac:dyDescent="0.3">
      <c r="A6" s="18">
        <f t="shared" ref="A6:A13" si="0">+A5+0.1</f>
        <v>1.2000000000000002</v>
      </c>
      <c r="B6" s="1" t="s">
        <v>101</v>
      </c>
    </row>
    <row r="7" spans="1:10" x14ac:dyDescent="0.3">
      <c r="A7" s="18">
        <f t="shared" si="0"/>
        <v>1.3000000000000003</v>
      </c>
      <c r="B7" s="1" t="s">
        <v>102</v>
      </c>
    </row>
    <row r="8" spans="1:10" x14ac:dyDescent="0.3">
      <c r="A8" s="18">
        <f t="shared" si="0"/>
        <v>1.4000000000000004</v>
      </c>
      <c r="B8" s="1" t="s">
        <v>103</v>
      </c>
    </row>
    <row r="9" spans="1:10" x14ac:dyDescent="0.3">
      <c r="A9" s="18">
        <f t="shared" si="0"/>
        <v>1.5000000000000004</v>
      </c>
      <c r="B9" s="1" t="s">
        <v>104</v>
      </c>
    </row>
    <row r="10" spans="1:10" x14ac:dyDescent="0.3">
      <c r="A10" s="18">
        <f t="shared" si="0"/>
        <v>1.6000000000000005</v>
      </c>
      <c r="B10" s="1" t="s">
        <v>105</v>
      </c>
    </row>
    <row r="11" spans="1:10" x14ac:dyDescent="0.3">
      <c r="A11" s="18">
        <f t="shared" si="0"/>
        <v>1.7000000000000006</v>
      </c>
      <c r="B11" s="1" t="s">
        <v>106</v>
      </c>
    </row>
    <row r="12" spans="1:10" x14ac:dyDescent="0.3">
      <c r="A12" s="18">
        <f t="shared" si="0"/>
        <v>1.8000000000000007</v>
      </c>
      <c r="B12" s="1" t="s">
        <v>107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2" x14ac:dyDescent="0.3">
      <c r="A17" s="18">
        <f>+A16+0.1</f>
        <v>2.1</v>
      </c>
      <c r="B17" s="1" t="s">
        <v>9</v>
      </c>
    </row>
    <row r="18" spans="1:2" x14ac:dyDescent="0.3">
      <c r="A18" s="18">
        <f>+A17+0.1</f>
        <v>2.2000000000000002</v>
      </c>
      <c r="B18" s="1" t="s">
        <v>111</v>
      </c>
    </row>
    <row r="19" spans="1:2" x14ac:dyDescent="0.3">
      <c r="A19" s="18"/>
      <c r="B19" s="3" t="s">
        <v>112</v>
      </c>
    </row>
    <row r="20" spans="1:2" x14ac:dyDescent="0.3">
      <c r="A20" s="18">
        <f>+A18+0.1</f>
        <v>2.3000000000000003</v>
      </c>
      <c r="B20" s="1" t="s">
        <v>113</v>
      </c>
    </row>
    <row r="21" spans="1:2" x14ac:dyDescent="0.3">
      <c r="A21" s="18"/>
      <c r="B21" s="3" t="s">
        <v>114</v>
      </c>
    </row>
    <row r="22" spans="1:2" x14ac:dyDescent="0.3">
      <c r="A22" s="18">
        <f>+A20+0.1</f>
        <v>2.4000000000000004</v>
      </c>
      <c r="B22" s="1" t="s">
        <v>115</v>
      </c>
    </row>
    <row r="23" spans="1:2" x14ac:dyDescent="0.3">
      <c r="A23" s="18"/>
    </row>
    <row r="24" spans="1:2" x14ac:dyDescent="0.3">
      <c r="A24" s="18">
        <f>+A16+1</f>
        <v>3</v>
      </c>
      <c r="B24" s="7" t="s">
        <v>116</v>
      </c>
    </row>
    <row r="25" spans="1:2" x14ac:dyDescent="0.3">
      <c r="A25" s="18">
        <f>+A24+0.1</f>
        <v>3.1</v>
      </c>
      <c r="B25" s="1" t="s">
        <v>117</v>
      </c>
    </row>
    <row r="26" spans="1:2" x14ac:dyDescent="0.3">
      <c r="A26" s="18">
        <f t="shared" ref="A26:A30" si="1">+A25+0.1</f>
        <v>3.2</v>
      </c>
      <c r="B26" s="1" t="s">
        <v>118</v>
      </c>
    </row>
    <row r="27" spans="1:2" x14ac:dyDescent="0.3">
      <c r="A27" s="18">
        <f t="shared" si="1"/>
        <v>3.3000000000000003</v>
      </c>
      <c r="B27" s="1" t="s">
        <v>119</v>
      </c>
    </row>
    <row r="28" spans="1:2" x14ac:dyDescent="0.3">
      <c r="A28" s="18">
        <f t="shared" si="1"/>
        <v>3.4000000000000004</v>
      </c>
      <c r="B28" s="1" t="s">
        <v>120</v>
      </c>
    </row>
    <row r="29" spans="1:2" x14ac:dyDescent="0.3">
      <c r="A29" s="18">
        <f t="shared" si="1"/>
        <v>3.5000000000000004</v>
      </c>
      <c r="B29" s="1" t="s">
        <v>121</v>
      </c>
    </row>
    <row r="30" spans="1:2" x14ac:dyDescent="0.3">
      <c r="A30" s="18">
        <f t="shared" si="1"/>
        <v>3.6000000000000005</v>
      </c>
      <c r="B30" s="1" t="s">
        <v>122</v>
      </c>
    </row>
    <row r="31" spans="1:2" x14ac:dyDescent="0.3">
      <c r="A31" s="18"/>
      <c r="B31" s="3" t="s">
        <v>123</v>
      </c>
    </row>
    <row r="32" spans="1:2" x14ac:dyDescent="0.3">
      <c r="A32" s="18"/>
    </row>
    <row r="33" spans="1:2" x14ac:dyDescent="0.3">
      <c r="A33" s="18">
        <f>+A24+1</f>
        <v>4</v>
      </c>
      <c r="B33" s="17" t="s">
        <v>124</v>
      </c>
    </row>
    <row r="34" spans="1:2" x14ac:dyDescent="0.3">
      <c r="A34" s="18">
        <f>+A33+0.1</f>
        <v>4.0999999999999996</v>
      </c>
      <c r="B34" s="1" t="s">
        <v>125</v>
      </c>
    </row>
    <row r="35" spans="1:2" x14ac:dyDescent="0.3">
      <c r="A35" s="18">
        <f t="shared" ref="A35:A37" si="2">+A34+0.1</f>
        <v>4.1999999999999993</v>
      </c>
      <c r="B35" s="1" t="s">
        <v>126</v>
      </c>
    </row>
    <row r="36" spans="1:2" x14ac:dyDescent="0.3">
      <c r="A36" s="18">
        <f t="shared" si="2"/>
        <v>4.2999999999999989</v>
      </c>
      <c r="B36" s="1" t="s">
        <v>127</v>
      </c>
    </row>
    <row r="37" spans="1:2" x14ac:dyDescent="0.3">
      <c r="A37" s="18">
        <f t="shared" si="2"/>
        <v>4.3999999999999986</v>
      </c>
      <c r="B37" s="1" t="s">
        <v>128</v>
      </c>
    </row>
    <row r="38" spans="1:2" x14ac:dyDescent="0.3">
      <c r="A38" s="18"/>
    </row>
    <row r="39" spans="1:2" x14ac:dyDescent="0.3">
      <c r="A39" s="18">
        <f>+A33+1</f>
        <v>5</v>
      </c>
      <c r="B39" s="17" t="s">
        <v>129</v>
      </c>
    </row>
    <row r="40" spans="1:2" x14ac:dyDescent="0.3">
      <c r="A40" s="18">
        <f>+A39+0.1</f>
        <v>5.0999999999999996</v>
      </c>
      <c r="B40" s="1" t="s">
        <v>130</v>
      </c>
    </row>
    <row r="41" spans="1:2" x14ac:dyDescent="0.3">
      <c r="A41" s="18">
        <f t="shared" ref="A41:A44" si="3">+A40+0.1</f>
        <v>5.1999999999999993</v>
      </c>
      <c r="B41" s="3" t="s">
        <v>131</v>
      </c>
    </row>
    <row r="42" spans="1:2" x14ac:dyDescent="0.3">
      <c r="A42" s="18">
        <f t="shared" si="3"/>
        <v>5.2999999999999989</v>
      </c>
      <c r="B42" s="1" t="s">
        <v>132</v>
      </c>
    </row>
    <row r="43" spans="1:2" x14ac:dyDescent="0.3">
      <c r="A43" s="18">
        <f t="shared" si="3"/>
        <v>5.3999999999999986</v>
      </c>
      <c r="B43" s="3" t="s">
        <v>133</v>
      </c>
    </row>
    <row r="44" spans="1:2" x14ac:dyDescent="0.3">
      <c r="A44" s="18">
        <f t="shared" si="3"/>
        <v>5.4999999999999982</v>
      </c>
      <c r="B44" s="1" t="s">
        <v>134</v>
      </c>
    </row>
    <row r="45" spans="1:2" x14ac:dyDescent="0.3">
      <c r="A45" s="18"/>
      <c r="B45" s="3" t="s">
        <v>135</v>
      </c>
    </row>
    <row r="46" spans="1:2" x14ac:dyDescent="0.3">
      <c r="A46" s="18">
        <f>+A44+0.1</f>
        <v>5.5999999999999979</v>
      </c>
      <c r="B46" s="1" t="s">
        <v>136</v>
      </c>
    </row>
    <row r="47" spans="1:2" x14ac:dyDescent="0.3">
      <c r="A47" s="18">
        <f t="shared" ref="A47:A50" si="4">+A45+0.1</f>
        <v>0.1</v>
      </c>
      <c r="B47" s="1" t="s">
        <v>137</v>
      </c>
    </row>
    <row r="48" spans="1:2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E922-E7A5-46AF-908A-457E40D2A352}">
  <dimension ref="A1:N53"/>
  <sheetViews>
    <sheetView workbookViewId="0">
      <pane ySplit="3" topLeftCell="A4" activePane="bottomLeft" state="frozen"/>
      <selection pane="bottomLeft" activeCell="H37" sqref="H37"/>
    </sheetView>
  </sheetViews>
  <sheetFormatPr defaultRowHeight="14.4" x14ac:dyDescent="0.3"/>
  <cols>
    <col min="1" max="1" width="4.6640625" customWidth="1"/>
    <col min="2" max="2" width="44.88671875" customWidth="1"/>
    <col min="3" max="3" width="11.5546875" bestFit="1" customWidth="1"/>
    <col min="4" max="4" width="11" bestFit="1" customWidth="1"/>
    <col min="5" max="5" width="10" bestFit="1" customWidth="1"/>
    <col min="8" max="8" width="12.33203125" customWidth="1"/>
    <col min="12" max="12" width="10.109375" bestFit="1" customWidth="1"/>
    <col min="13" max="13" width="12.5546875" bestFit="1" customWidth="1"/>
    <col min="14" max="14" width="17.218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8" t="s">
        <v>23</v>
      </c>
      <c r="D2" s="38"/>
      <c r="E2" s="38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t="s">
        <v>152</v>
      </c>
    </row>
    <row r="4" spans="1:10" x14ac:dyDescent="0.3">
      <c r="A4" s="18">
        <v>1</v>
      </c>
      <c r="B4" s="7" t="s">
        <v>99</v>
      </c>
      <c r="F4" s="23"/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  <c r="F5" s="23" t="s">
        <v>151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F6" s="23" t="s">
        <v>151</v>
      </c>
    </row>
    <row r="7" spans="1:10" x14ac:dyDescent="0.3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  <c r="F7" s="23" t="s">
        <v>151</v>
      </c>
    </row>
    <row r="8" spans="1:10" x14ac:dyDescent="0.3">
      <c r="A8" s="18">
        <f t="shared" si="0"/>
        <v>1.4000000000000004</v>
      </c>
      <c r="B8" s="1" t="s">
        <v>103</v>
      </c>
      <c r="C8" s="23">
        <f>'Financial Statements'!B42/('Financial Statements'!B12+'Financial Statements'!B17-(SUM('Financial Statements'!B79:B82))/365)</f>
        <v>0.49268090187191788</v>
      </c>
      <c r="D8" s="23">
        <f>'Financial Statements'!C42/('Financial Statements'!C12+'Financial Statements'!C17-(SUM('Financial Statements'!C79:C82))/365)</f>
        <v>0.52500320798822719</v>
      </c>
      <c r="E8" s="23">
        <f>'Financial Statements'!D42/('Financial Statements'!D12+'Financial Statements'!D17-(SUM('Financial Statements'!D79:D82))/365)</f>
        <v>0.69033428078874537</v>
      </c>
      <c r="F8" s="23" t="s">
        <v>150</v>
      </c>
    </row>
    <row r="9" spans="1:10" x14ac:dyDescent="0.3">
      <c r="A9" s="18">
        <f t="shared" si="0"/>
        <v>1.5000000000000004</v>
      </c>
      <c r="B9" s="1" t="s">
        <v>104</v>
      </c>
      <c r="C9" s="23">
        <f>365/C36</f>
        <v>9.4096740715557416</v>
      </c>
      <c r="D9" s="23">
        <f t="shared" ref="D9:E9" si="1">365/D36</f>
        <v>9.1181020842234748</v>
      </c>
      <c r="E9" s="23">
        <f t="shared" si="1"/>
        <v>8.7418833562358813</v>
      </c>
      <c r="F9" s="23" t="s">
        <v>150</v>
      </c>
    </row>
    <row r="10" spans="1:10" x14ac:dyDescent="0.3">
      <c r="A10" s="18">
        <f t="shared" si="0"/>
        <v>1.6000000000000005</v>
      </c>
      <c r="B10" s="1" t="s">
        <v>105</v>
      </c>
      <c r="C10" s="23">
        <f>(SUM('Financial Statements'!B51:C51)/2)/'Financial Statements'!B12*365</f>
        <v>97.050428099809452</v>
      </c>
      <c r="D10" s="23">
        <f>(SUM('Financial Statements'!C51:D51)/2)/'Financial Statements'!C12*365</f>
        <v>83.168299050150011</v>
      </c>
      <c r="E10" s="23">
        <f>(SUM('Financial Statements'!D51:E51)/2)/'Financial Statements'!D12*365</f>
        <v>45.524094857837099</v>
      </c>
      <c r="F10" s="23" t="s">
        <v>150</v>
      </c>
    </row>
    <row r="11" spans="1:10" x14ac:dyDescent="0.3">
      <c r="A11" s="18">
        <f t="shared" si="0"/>
        <v>1.7000000000000006</v>
      </c>
      <c r="B11" s="1" t="s">
        <v>106</v>
      </c>
      <c r="C11" s="23">
        <f>(SUM('Financial Statements'!B38:C38)/2)/'Financial Statements'!B8*365</f>
        <v>25.205704388225033</v>
      </c>
      <c r="D11" s="23">
        <f>(SUM('Financial Statements'!C38:D38)/2)/'Financial Statements'!C8*365</f>
        <v>21.151655062503931</v>
      </c>
      <c r="E11" s="23">
        <f>(SUM('Financial Statements'!D38:E38)/2)/'Financial Statements'!D8*365</f>
        <v>10.716718576398375</v>
      </c>
      <c r="F11" s="23" t="s">
        <v>150</v>
      </c>
    </row>
    <row r="12" spans="1:10" x14ac:dyDescent="0.3">
      <c r="A12" s="18">
        <f t="shared" si="0"/>
        <v>1.8000000000000007</v>
      </c>
      <c r="B12" s="1" t="s">
        <v>107</v>
      </c>
      <c r="C12" s="34">
        <f>C9+C11-C10</f>
        <v>-62.43504964002868</v>
      </c>
      <c r="D12" s="34">
        <f t="shared" ref="D12:E12" si="2">D9+D11-D10</f>
        <v>-52.898541903422604</v>
      </c>
      <c r="E12" s="34">
        <f t="shared" si="2"/>
        <v>-26.065492925202843</v>
      </c>
      <c r="F12" s="23" t="s">
        <v>150</v>
      </c>
    </row>
    <row r="13" spans="1:10" x14ac:dyDescent="0.3">
      <c r="A13" s="18">
        <f t="shared" si="0"/>
        <v>1.9000000000000008</v>
      </c>
      <c r="B13" s="1" t="s">
        <v>108</v>
      </c>
      <c r="C13" s="26">
        <f>(C14/'Financial Statements'!B8)</f>
        <v>-4.711052727678481E-2</v>
      </c>
      <c r="D13" s="25">
        <f>(D14/'Financial Statements'!C8)*100</f>
        <v>2.5572895737486232</v>
      </c>
      <c r="E13" s="25">
        <f>(E14/'Financial Statements'!D8)*100</f>
        <v>13.959528623208204</v>
      </c>
      <c r="F13" s="23"/>
    </row>
    <row r="14" spans="1:10" x14ac:dyDescent="0.3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3"/>
    </row>
    <row r="15" spans="1:10" x14ac:dyDescent="0.3">
      <c r="A15" s="18"/>
      <c r="C15" s="23"/>
      <c r="D15" s="23"/>
      <c r="E15" s="23"/>
      <c r="F15" s="23"/>
    </row>
    <row r="16" spans="1:10" x14ac:dyDescent="0.3">
      <c r="A16" s="18">
        <f>+A4+1</f>
        <v>2</v>
      </c>
      <c r="B16" s="17" t="s">
        <v>110</v>
      </c>
      <c r="C16" s="23"/>
      <c r="D16" s="23"/>
      <c r="E16" s="23"/>
      <c r="F16" s="23"/>
    </row>
    <row r="17" spans="1:6" x14ac:dyDescent="0.3">
      <c r="A17" s="18">
        <f>+A16+0.1</f>
        <v>2.1</v>
      </c>
      <c r="B17" s="1" t="s">
        <v>9</v>
      </c>
      <c r="C17" s="35">
        <f>'Financial Statements'!B13/'Financial Statements'!B8</f>
        <v>0.43309630561360085</v>
      </c>
      <c r="D17" s="35">
        <f>'Financial Statements'!C13/'Financial Statements'!C8</f>
        <v>0.41779359625167778</v>
      </c>
      <c r="E17" s="35">
        <f>'Financial Statements'!D13/'Financial Statements'!D8</f>
        <v>0.38233247727810865</v>
      </c>
      <c r="F17" s="23"/>
    </row>
    <row r="18" spans="1:6" x14ac:dyDescent="0.3">
      <c r="A18" s="18">
        <f>+A17+0.1</f>
        <v>2.2000000000000002</v>
      </c>
      <c r="B18" s="1" t="s">
        <v>111</v>
      </c>
      <c r="C18" s="35">
        <f>C19/'Financial Statements'!B8</f>
        <v>0.30288744395528594</v>
      </c>
      <c r="D18" s="35">
        <f>D19/'Financial Statements'!C8</f>
        <v>0.29782377527561593</v>
      </c>
      <c r="E18" s="35">
        <f>E19/'Financial Statements'!D8</f>
        <v>0.24147314354406862</v>
      </c>
      <c r="F18" s="23"/>
    </row>
    <row r="19" spans="1:6" x14ac:dyDescent="0.3">
      <c r="A19" s="18"/>
      <c r="B19" s="3" t="s">
        <v>112</v>
      </c>
      <c r="C19" s="36">
        <v>119437</v>
      </c>
      <c r="D19" s="36">
        <v>108949</v>
      </c>
      <c r="E19" s="36">
        <v>66288</v>
      </c>
      <c r="F19" s="23"/>
    </row>
    <row r="20" spans="1:6" x14ac:dyDescent="0.3">
      <c r="A20" s="18">
        <f>+A18+0.1</f>
        <v>2.3000000000000003</v>
      </c>
      <c r="B20" s="1" t="s">
        <v>113</v>
      </c>
      <c r="C20" s="35">
        <f>C21/'Financial Statements'!B8</f>
        <v>0.30204043334482966</v>
      </c>
      <c r="D20" s="35">
        <f>D21/'Financial Statements'!C8</f>
        <v>0.29852904594373691</v>
      </c>
      <c r="E20" s="35">
        <f>E21/'Financial Statements'!D8</f>
        <v>0.24439830246070343</v>
      </c>
      <c r="F20" s="23"/>
    </row>
    <row r="21" spans="1:6" x14ac:dyDescent="0.3">
      <c r="A21" s="18"/>
      <c r="B21" s="3" t="s">
        <v>114</v>
      </c>
      <c r="C21" s="36">
        <v>119103</v>
      </c>
      <c r="D21" s="36">
        <v>109207</v>
      </c>
      <c r="E21" s="36">
        <v>67091</v>
      </c>
      <c r="F21" s="23"/>
    </row>
    <row r="22" spans="1:6" x14ac:dyDescent="0.3">
      <c r="A22" s="18">
        <f>+A20+0.1</f>
        <v>2.4000000000000004</v>
      </c>
      <c r="B22" s="1" t="s">
        <v>115</v>
      </c>
      <c r="C22" s="35">
        <f>'Financial Statements'!B22/'Financial Statements'!B8</f>
        <v>0.25309640705199732</v>
      </c>
      <c r="D22" s="35">
        <f>'Financial Statements'!C22/'Financial Statements'!C8</f>
        <v>0.25881793355694238</v>
      </c>
      <c r="E22" s="35">
        <f>'Financial Statements'!D22/'Financial Statements'!D8</f>
        <v>0.20913611278072236</v>
      </c>
      <c r="F22" s="23"/>
    </row>
    <row r="23" spans="1:6" x14ac:dyDescent="0.3">
      <c r="A23" s="18"/>
      <c r="C23" s="23"/>
      <c r="D23" s="23"/>
      <c r="E23" s="23"/>
      <c r="F23" s="23"/>
    </row>
    <row r="24" spans="1:6" x14ac:dyDescent="0.3">
      <c r="A24" s="18">
        <f>+A16+1</f>
        <v>3</v>
      </c>
      <c r="B24" s="7" t="s">
        <v>116</v>
      </c>
      <c r="C24" s="23"/>
      <c r="D24" s="23"/>
      <c r="E24" s="23"/>
      <c r="F24" s="23"/>
    </row>
    <row r="25" spans="1:6" x14ac:dyDescent="0.3">
      <c r="A25" s="18">
        <f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F25" s="23" t="s">
        <v>151</v>
      </c>
    </row>
    <row r="26" spans="1:6" x14ac:dyDescent="0.3">
      <c r="A26" s="18">
        <f t="shared" ref="A26:A30" si="3">+A25+0.1</f>
        <v>3.2</v>
      </c>
      <c r="B26" s="1" t="s">
        <v>118</v>
      </c>
      <c r="C26" s="23">
        <f>'Financial Statements'!B62/'Financial Statements'!B48</f>
        <v>0.85635355983614692</v>
      </c>
      <c r="D26" s="23">
        <f>'Financial Statements'!C62/'Financial Statements'!C48</f>
        <v>0.82025743443057308</v>
      </c>
      <c r="E26" s="23">
        <f>'Financial Statements'!D62/'Financial Statements'!D48</f>
        <v>0.79826668477992391</v>
      </c>
      <c r="F26" s="23" t="s">
        <v>151</v>
      </c>
    </row>
    <row r="27" spans="1:6" x14ac:dyDescent="0.3">
      <c r="A27" s="18">
        <f t="shared" si="3"/>
        <v>3.3000000000000003</v>
      </c>
      <c r="B27" s="1" t="s">
        <v>119</v>
      </c>
      <c r="C27" s="23">
        <f>'Financial Statements'!B61/('Financial Statements'!B61+'Financial Statements'!B68)</f>
        <v>0.74507604151469264</v>
      </c>
      <c r="D27" s="23">
        <f>'Financial Statements'!C61/('Financial Statements'!C61+'Financial Statements'!C68)</f>
        <v>0.72024778180302496</v>
      </c>
      <c r="E27" s="23">
        <f>'Financial Statements'!D61/('Financial Statements'!D61+'Financial Statements'!D68)</f>
        <v>0.70096020064440534</v>
      </c>
      <c r="F27" s="23" t="s">
        <v>151</v>
      </c>
    </row>
    <row r="28" spans="1:6" x14ac:dyDescent="0.3">
      <c r="A28" s="18">
        <f t="shared" si="3"/>
        <v>3.4000000000000004</v>
      </c>
      <c r="B28" s="1" t="s">
        <v>120</v>
      </c>
      <c r="C28" s="23">
        <f>C21/'Financial Statements'!B114</f>
        <v>41.571727748691103</v>
      </c>
      <c r="D28" s="23">
        <f>D21/'Financial Statements'!C114</f>
        <v>40.642724227763303</v>
      </c>
      <c r="E28" s="23">
        <f>E21/'Financial Statements'!D114</f>
        <v>22.348767488341107</v>
      </c>
      <c r="F28" s="23" t="s">
        <v>151</v>
      </c>
    </row>
    <row r="29" spans="1:6" x14ac:dyDescent="0.3">
      <c r="A29" s="18">
        <f t="shared" si="3"/>
        <v>3.5000000000000004</v>
      </c>
      <c r="B29" s="1" t="s">
        <v>121</v>
      </c>
      <c r="C29" s="23">
        <f>'Financial Statements'!B22/('Financial Statements'!B55+'Financial Statements'!B59+'Financial Statements'!B114)</f>
        <v>0.88358771867696018</v>
      </c>
      <c r="D29" s="23">
        <f>'Financial Statements'!C22/('Financial Statements'!C55+'Financial Statements'!C59+'Financial Statements'!C114)</f>
        <v>0.77986260975569577</v>
      </c>
      <c r="E29" s="23">
        <f>'Financial Statements'!D22/('Financial Statements'!D55+'Financial Statements'!D59+'Financial Statements'!D114)</f>
        <v>0.51982941272342043</v>
      </c>
      <c r="F29" s="23" t="s">
        <v>151</v>
      </c>
    </row>
    <row r="30" spans="1:6" x14ac:dyDescent="0.3">
      <c r="A30" s="18">
        <f t="shared" si="3"/>
        <v>3.6000000000000005</v>
      </c>
      <c r="B30" s="1" t="s">
        <v>122</v>
      </c>
      <c r="C30" s="23"/>
      <c r="D30" s="23"/>
      <c r="E30" s="23"/>
      <c r="F30" s="23"/>
    </row>
    <row r="31" spans="1:6" x14ac:dyDescent="0.3">
      <c r="A31" s="18"/>
      <c r="B31" s="3" t="s">
        <v>123</v>
      </c>
      <c r="C31" s="23"/>
      <c r="D31" s="23"/>
      <c r="E31" s="23"/>
      <c r="F31" s="23"/>
    </row>
    <row r="32" spans="1:6" x14ac:dyDescent="0.3">
      <c r="A32" s="18"/>
      <c r="C32" s="23"/>
      <c r="D32" s="23"/>
      <c r="E32" s="23"/>
      <c r="F32" s="23"/>
    </row>
    <row r="33" spans="1:14" x14ac:dyDescent="0.3">
      <c r="A33" s="18">
        <f>+A24+1</f>
        <v>4</v>
      </c>
      <c r="B33" s="17" t="s">
        <v>124</v>
      </c>
      <c r="C33" s="23"/>
      <c r="D33" s="23"/>
      <c r="E33" s="23"/>
      <c r="F33" s="23"/>
    </row>
    <row r="34" spans="1:14" x14ac:dyDescent="0.3">
      <c r="A34" s="18">
        <f>+A33+0.1</f>
        <v>4.0999999999999996</v>
      </c>
      <c r="B34" s="1" t="s">
        <v>125</v>
      </c>
      <c r="C34" s="23">
        <f>'Financial Statements'!B8/'Financial Statements'!B48</f>
        <v>1.1178523337727317</v>
      </c>
      <c r="D34" s="23">
        <f>'Financial Statements'!C8/'Financial Statements'!C48</f>
        <v>1.0422077367080529</v>
      </c>
      <c r="E34" s="23">
        <f>'Financial Statements'!D8/'Financial Statements'!D48</f>
        <v>0.84756150274168851</v>
      </c>
      <c r="F34" s="23"/>
    </row>
    <row r="35" spans="1:14" x14ac:dyDescent="0.3">
      <c r="A35" s="18">
        <f t="shared" ref="A35:A37" si="4">+A34+0.1</f>
        <v>4.1999999999999993</v>
      </c>
      <c r="B35" s="1" t="s">
        <v>126</v>
      </c>
      <c r="C35" s="23">
        <f>'Financial Statements'!B8/'Financial Statements'!B45</f>
        <v>9.3626801529073767</v>
      </c>
      <c r="D35" s="23">
        <f>'Financial Statements'!C8/'Financial Statements'!C45</f>
        <v>9.2752789046653152</v>
      </c>
      <c r="E35" s="23">
        <f>'Financial Statements'!D8/'Financial Statements'!D45</f>
        <v>7.4665451776097482</v>
      </c>
      <c r="F35" s="23"/>
    </row>
    <row r="36" spans="1:14" x14ac:dyDescent="0.3">
      <c r="A36" s="18">
        <f t="shared" si="4"/>
        <v>4.2999999999999989</v>
      </c>
      <c r="B36" s="1" t="s">
        <v>127</v>
      </c>
      <c r="C36" s="23">
        <f>'Financial Statements'!B12/AVERAGE('Financial Statements'!B39:C39)</f>
        <v>38.789866389033492</v>
      </c>
      <c r="D36" s="23">
        <f>'Financial Statements'!C12/AVERAGE('Financial Statements'!C39:D39)</f>
        <v>40.030260313880277</v>
      </c>
      <c r="E36" s="23">
        <f>'Financial Statements'!D12/AVERAGE('Financial Statements'!D39:E39)</f>
        <v>41.753016498399411</v>
      </c>
      <c r="F36" s="23" t="s">
        <v>151</v>
      </c>
    </row>
    <row r="37" spans="1:14" x14ac:dyDescent="0.3">
      <c r="A37" s="18">
        <f t="shared" si="4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s="23"/>
    </row>
    <row r="38" spans="1:14" x14ac:dyDescent="0.3">
      <c r="A38" s="18"/>
      <c r="C38" s="23"/>
      <c r="D38" s="23"/>
      <c r="E38" s="23"/>
      <c r="F38" s="23"/>
    </row>
    <row r="39" spans="1:14" x14ac:dyDescent="0.3">
      <c r="A39" s="18">
        <f>+A33+1</f>
        <v>5</v>
      </c>
      <c r="B39" s="17" t="s">
        <v>129</v>
      </c>
      <c r="C39" s="23"/>
      <c r="D39" s="23"/>
      <c r="E39" s="23"/>
      <c r="F39" s="23"/>
    </row>
    <row r="40" spans="1:14" x14ac:dyDescent="0.3">
      <c r="A40" s="18">
        <f>+A39+0.1</f>
        <v>5.0999999999999996</v>
      </c>
      <c r="B40" s="1" t="s">
        <v>130</v>
      </c>
      <c r="C40" s="23"/>
      <c r="D40" s="23"/>
      <c r="E40" s="23"/>
      <c r="F40" s="23"/>
    </row>
    <row r="41" spans="1:14" x14ac:dyDescent="0.3">
      <c r="A41" s="18">
        <f t="shared" ref="A41:A44" si="5">+A40+0.1</f>
        <v>5.1999999999999993</v>
      </c>
      <c r="B41" s="3" t="s">
        <v>131</v>
      </c>
      <c r="C41" s="23"/>
      <c r="D41" s="23"/>
      <c r="E41" s="23"/>
      <c r="F41" s="23"/>
    </row>
    <row r="42" spans="1:14" x14ac:dyDescent="0.3">
      <c r="A42" s="18">
        <f t="shared" si="5"/>
        <v>5.2999999999999989</v>
      </c>
      <c r="B42" s="1" t="s">
        <v>132</v>
      </c>
      <c r="C42" s="23"/>
      <c r="D42" s="23"/>
      <c r="E42" s="23"/>
      <c r="F42" s="23"/>
    </row>
    <row r="43" spans="1:14" x14ac:dyDescent="0.3">
      <c r="A43" s="18">
        <f t="shared" si="5"/>
        <v>5.3999999999999986</v>
      </c>
      <c r="B43" s="3" t="s">
        <v>133</v>
      </c>
      <c r="C43" s="23"/>
      <c r="D43" s="23"/>
      <c r="E43" s="23"/>
      <c r="F43" s="23"/>
    </row>
    <row r="44" spans="1:14" x14ac:dyDescent="0.3">
      <c r="A44" s="18">
        <f t="shared" si="5"/>
        <v>5.4999999999999982</v>
      </c>
      <c r="B44" s="1" t="s">
        <v>134</v>
      </c>
      <c r="C44" s="23">
        <f>(ABS('Financial Statements'!B102)/'Financial Statements'!B22)*100</f>
        <v>14.870294480125848</v>
      </c>
      <c r="D44" s="23">
        <f>(ABS('Financial Statements'!C102)/'Financial Statements'!C22)*100</f>
        <v>15.279890156316011</v>
      </c>
      <c r="E44" s="23">
        <f>(ABS('Financial Statements'!D102)/'Financial Statements'!D22)*100</f>
        <v>24.526658654264864</v>
      </c>
      <c r="F44" s="23" t="s">
        <v>153</v>
      </c>
    </row>
    <row r="45" spans="1:14" x14ac:dyDescent="0.3">
      <c r="A45" s="18"/>
      <c r="B45" s="3" t="s">
        <v>135</v>
      </c>
      <c r="C45" s="23"/>
      <c r="D45" s="23"/>
      <c r="E45" s="23"/>
      <c r="F45" s="23"/>
      <c r="H45" s="2"/>
    </row>
    <row r="46" spans="1:14" x14ac:dyDescent="0.3">
      <c r="A46" s="18">
        <f>+A44+0.1</f>
        <v>5.5999999999999979</v>
      </c>
      <c r="B46" s="1" t="s">
        <v>136</v>
      </c>
      <c r="C46" s="23"/>
      <c r="D46" s="23"/>
      <c r="E46" s="23"/>
      <c r="F46" s="23"/>
      <c r="H46" s="2"/>
    </row>
    <row r="47" spans="1:14" x14ac:dyDescent="0.3">
      <c r="A47" s="18">
        <f t="shared" ref="A47:A50" si="6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  <c r="F47" s="23" t="s">
        <v>151</v>
      </c>
      <c r="H47" s="2"/>
      <c r="L47" s="12"/>
    </row>
    <row r="48" spans="1:14" x14ac:dyDescent="0.3">
      <c r="A48" s="18">
        <f t="shared" si="6"/>
        <v>5.6999999999999975</v>
      </c>
      <c r="B48" s="1" t="s">
        <v>138</v>
      </c>
      <c r="C48" s="23">
        <f>'List of Ratios Calculation'!C21/('Financial Statements'!B48-'Financial Statements'!B56)</f>
        <v>0.59919103701206899</v>
      </c>
      <c r="D48" s="23">
        <f>'List of Ratios Calculation'!D21/('Financial Statements'!C48-'Financial Statements'!C56)</f>
        <v>0.48424315252238148</v>
      </c>
      <c r="E48" s="23">
        <f>'List of Ratios Calculation'!E21/('Financial Statements'!D48-'Financial Statements'!D56)</f>
        <v>0.30705825278265964</v>
      </c>
      <c r="F48" s="23" t="s">
        <v>151</v>
      </c>
      <c r="H48" s="2"/>
      <c r="L48" s="12"/>
      <c r="M48" s="12"/>
      <c r="N48" s="12"/>
    </row>
    <row r="49" spans="1:14" x14ac:dyDescent="0.3">
      <c r="A49" s="18">
        <f t="shared" si="6"/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  <c r="F49" s="23" t="s">
        <v>151</v>
      </c>
      <c r="N49" s="40"/>
    </row>
    <row r="50" spans="1:14" x14ac:dyDescent="0.3">
      <c r="A50" s="18">
        <f t="shared" si="6"/>
        <v>5.7999999999999972</v>
      </c>
      <c r="B50" s="1" t="s">
        <v>139</v>
      </c>
      <c r="C50" s="23"/>
      <c r="D50" s="23"/>
      <c r="E50" s="23"/>
      <c r="F50" s="23"/>
    </row>
    <row r="51" spans="1:14" x14ac:dyDescent="0.3">
      <c r="A51" s="18"/>
      <c r="B51" s="3" t="s">
        <v>140</v>
      </c>
      <c r="C51" s="23"/>
      <c r="D51" s="23"/>
      <c r="E51" s="23"/>
      <c r="F51" s="23"/>
    </row>
    <row r="52" spans="1:14" x14ac:dyDescent="0.3">
      <c r="C52" s="23"/>
      <c r="D52" s="23"/>
      <c r="E52" s="23"/>
      <c r="F52" s="23"/>
    </row>
    <row r="53" spans="1:14" x14ac:dyDescent="0.3">
      <c r="C53" s="23"/>
      <c r="D53" s="23"/>
      <c r="E53" s="23"/>
      <c r="F53" s="23"/>
    </row>
  </sheetData>
  <mergeCells count="1">
    <mergeCell ref="C2:E2"/>
  </mergeCells>
  <pageMargins left="0.7" right="0.7" top="0.75" bottom="0.75" header="0.3" footer="0.3"/>
  <ignoredErrors>
    <ignoredError sqref="C10:E10 C11:E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B20A-7BA3-452E-AC5F-1B4CA86C28CA}">
  <dimension ref="A2:AH24"/>
  <sheetViews>
    <sheetView workbookViewId="0">
      <selection activeCell="Y15" sqref="Y15"/>
    </sheetView>
  </sheetViews>
  <sheetFormatPr defaultRowHeight="14.4" x14ac:dyDescent="0.3"/>
  <cols>
    <col min="6" max="8" width="11.109375" bestFit="1" customWidth="1"/>
    <col min="9" max="9" width="12.6640625" customWidth="1"/>
    <col min="10" max="10" width="11.109375" customWidth="1"/>
    <col min="11" max="11" width="12.5546875" bestFit="1" customWidth="1"/>
  </cols>
  <sheetData>
    <row r="2" spans="1:34" x14ac:dyDescent="0.3">
      <c r="A2" s="1" t="s">
        <v>145</v>
      </c>
    </row>
    <row r="3" spans="1:34" x14ac:dyDescent="0.3">
      <c r="A3" s="1" t="s">
        <v>89</v>
      </c>
    </row>
    <row r="4" spans="1:34" x14ac:dyDescent="0.3">
      <c r="A4" s="1" t="s">
        <v>90</v>
      </c>
    </row>
    <row r="5" spans="1:34" x14ac:dyDescent="0.3">
      <c r="A5" s="1" t="s">
        <v>91</v>
      </c>
    </row>
    <row r="6" spans="1:34" x14ac:dyDescent="0.3">
      <c r="F6" s="38" t="s">
        <v>23</v>
      </c>
      <c r="G6" s="38"/>
      <c r="H6" s="38"/>
    </row>
    <row r="7" spans="1:34" x14ac:dyDescent="0.3">
      <c r="F7" s="7">
        <v>2022</v>
      </c>
      <c r="G7" s="7">
        <v>2021</v>
      </c>
      <c r="H7" s="7">
        <v>2020</v>
      </c>
      <c r="I7" s="7" t="s">
        <v>155</v>
      </c>
      <c r="J7" s="7" t="s">
        <v>156</v>
      </c>
    </row>
    <row r="8" spans="1:34" ht="28.2" customHeight="1" x14ac:dyDescent="0.3">
      <c r="A8" s="42" t="s">
        <v>4</v>
      </c>
      <c r="B8" s="42"/>
      <c r="C8" s="42"/>
      <c r="D8" s="42"/>
      <c r="E8" s="42"/>
      <c r="F8" s="46">
        <v>316199</v>
      </c>
      <c r="G8" s="46">
        <v>297392</v>
      </c>
      <c r="H8" s="46">
        <v>220747</v>
      </c>
      <c r="I8" s="48">
        <f>(F8/G8)-1</f>
        <v>6.3239764351428418E-2</v>
      </c>
      <c r="J8" s="48">
        <f t="shared" ref="J8:K8" si="0">(G8/H8)-1</f>
        <v>0.34720743656765429</v>
      </c>
      <c r="K8" s="45" t="s">
        <v>154</v>
      </c>
    </row>
    <row r="9" spans="1:34" x14ac:dyDescent="0.3">
      <c r="A9" s="42" t="s">
        <v>5</v>
      </c>
      <c r="B9" s="42"/>
      <c r="C9" s="42"/>
      <c r="D9" s="42"/>
      <c r="E9" s="42"/>
      <c r="F9" s="46">
        <v>78129</v>
      </c>
      <c r="G9" s="46">
        <v>68425</v>
      </c>
      <c r="H9" s="46">
        <v>53768</v>
      </c>
      <c r="I9" s="48">
        <f t="shared" ref="I9:I24" si="1">(F9/G9)-1</f>
        <v>0.14181951041286078</v>
      </c>
      <c r="J9" s="48">
        <f t="shared" ref="J9:J24" si="2">(G9/H9)-1</f>
        <v>0.27259708376729663</v>
      </c>
      <c r="K9" t="s">
        <v>154</v>
      </c>
      <c r="AF9" s="27"/>
      <c r="AG9" s="28"/>
      <c r="AH9" s="29"/>
    </row>
    <row r="10" spans="1:34" x14ac:dyDescent="0.3">
      <c r="A10" s="43" t="s">
        <v>6</v>
      </c>
      <c r="B10" s="43"/>
      <c r="C10" s="43"/>
      <c r="D10" s="43"/>
      <c r="E10" s="43"/>
      <c r="F10" s="46">
        <f>SUM(F8:F9)</f>
        <v>394328</v>
      </c>
      <c r="G10" s="46">
        <f t="shared" ref="G10:H10" si="3">SUM(G8:G9)</f>
        <v>365817</v>
      </c>
      <c r="H10" s="46">
        <f t="shared" si="3"/>
        <v>274515</v>
      </c>
      <c r="I10" s="48">
        <f t="shared" si="1"/>
        <v>7.7937876041846099E-2</v>
      </c>
      <c r="J10" s="48">
        <f t="shared" si="2"/>
        <v>0.33259384733074704</v>
      </c>
      <c r="K10" t="s">
        <v>154</v>
      </c>
      <c r="AF10" s="30"/>
      <c r="AG10" s="31"/>
      <c r="AH10" s="32"/>
    </row>
    <row r="11" spans="1:34" x14ac:dyDescent="0.3">
      <c r="A11" s="42" t="s">
        <v>89</v>
      </c>
      <c r="B11" s="42"/>
      <c r="C11" s="42"/>
      <c r="D11" s="42"/>
      <c r="E11" s="42"/>
      <c r="F11" s="46">
        <v>170782</v>
      </c>
      <c r="G11" s="46">
        <v>152836</v>
      </c>
      <c r="H11" s="46">
        <v>104956</v>
      </c>
      <c r="I11" s="48">
        <f t="shared" si="1"/>
        <v>0.1174199795859614</v>
      </c>
      <c r="J11" s="48">
        <f t="shared" si="2"/>
        <v>0.45619116582186825</v>
      </c>
      <c r="K11" t="s">
        <v>154</v>
      </c>
      <c r="AF11" s="27"/>
      <c r="AG11" s="28"/>
      <c r="AH11" s="33"/>
    </row>
    <row r="12" spans="1:34" x14ac:dyDescent="0.3">
      <c r="A12" s="47" t="s">
        <v>11</v>
      </c>
      <c r="B12" s="47"/>
      <c r="C12" s="47"/>
      <c r="D12" s="47"/>
      <c r="E12" s="47"/>
      <c r="F12" s="12">
        <v>26251</v>
      </c>
      <c r="G12" s="12">
        <v>21914</v>
      </c>
      <c r="H12" s="12">
        <v>18752</v>
      </c>
      <c r="I12" s="48">
        <f t="shared" si="1"/>
        <v>0.19791001186456136</v>
      </c>
      <c r="J12" s="48">
        <f t="shared" si="2"/>
        <v>0.16862201365187723</v>
      </c>
      <c r="K12" t="s">
        <v>154</v>
      </c>
      <c r="AF12" s="30"/>
      <c r="AG12" s="30"/>
      <c r="AH12" s="32"/>
    </row>
    <row r="13" spans="1:34" x14ac:dyDescent="0.3">
      <c r="A13" s="42" t="s">
        <v>12</v>
      </c>
      <c r="B13" s="42"/>
      <c r="C13" s="42"/>
      <c r="D13" s="42"/>
      <c r="E13" s="42"/>
      <c r="F13" s="12">
        <v>25094</v>
      </c>
      <c r="G13" s="12">
        <v>21973</v>
      </c>
      <c r="H13" s="12">
        <v>19916</v>
      </c>
      <c r="I13" s="48">
        <f t="shared" si="1"/>
        <v>0.14203795567287125</v>
      </c>
      <c r="J13" s="48">
        <f t="shared" si="2"/>
        <v>0.10328379192608961</v>
      </c>
      <c r="K13" t="s">
        <v>154</v>
      </c>
      <c r="AF13" s="27"/>
      <c r="AG13" s="27"/>
      <c r="AH13" s="29"/>
    </row>
    <row r="14" spans="1:34" x14ac:dyDescent="0.3">
      <c r="A14" s="42" t="s">
        <v>13</v>
      </c>
      <c r="B14" s="42"/>
      <c r="C14" s="42"/>
      <c r="D14" s="42"/>
      <c r="E14" s="42"/>
      <c r="F14" s="46">
        <v>51345</v>
      </c>
      <c r="G14" s="46">
        <v>43887</v>
      </c>
      <c r="H14" s="46">
        <v>38668</v>
      </c>
      <c r="I14" s="48">
        <f t="shared" si="1"/>
        <v>0.16993642764372141</v>
      </c>
      <c r="J14" s="48">
        <f t="shared" si="2"/>
        <v>0.13496948381090301</v>
      </c>
      <c r="K14" t="s">
        <v>154</v>
      </c>
    </row>
    <row r="15" spans="1:34" x14ac:dyDescent="0.3">
      <c r="A15" s="42"/>
      <c r="B15" s="42"/>
      <c r="C15" s="42"/>
      <c r="D15" s="42"/>
      <c r="E15" s="42"/>
      <c r="F15" s="45"/>
      <c r="G15" s="45"/>
      <c r="H15" s="45"/>
      <c r="I15" s="48"/>
      <c r="J15" s="48"/>
      <c r="K15" t="s">
        <v>154</v>
      </c>
    </row>
    <row r="16" spans="1:34" x14ac:dyDescent="0.3">
      <c r="A16" s="42" t="s">
        <v>31</v>
      </c>
      <c r="B16" s="42"/>
      <c r="C16" s="42"/>
      <c r="D16" s="42"/>
      <c r="E16" s="42"/>
      <c r="F16" s="46">
        <v>135405</v>
      </c>
      <c r="G16" s="46">
        <v>134836</v>
      </c>
      <c r="H16" s="46">
        <v>143713</v>
      </c>
      <c r="I16" s="48">
        <f t="shared" si="1"/>
        <v>4.2199412619774446E-3</v>
      </c>
      <c r="J16" s="48">
        <f t="shared" si="2"/>
        <v>-6.1768942266879123E-2</v>
      </c>
      <c r="K16" t="s">
        <v>154</v>
      </c>
    </row>
    <row r="17" spans="1:11" x14ac:dyDescent="0.3">
      <c r="A17" s="42" t="s">
        <v>50</v>
      </c>
      <c r="B17" s="42"/>
      <c r="C17" s="42"/>
      <c r="D17" s="42"/>
      <c r="E17" s="42"/>
      <c r="F17" s="46">
        <v>217350</v>
      </c>
      <c r="G17" s="46">
        <v>216166</v>
      </c>
      <c r="H17" s="46">
        <v>180175</v>
      </c>
      <c r="I17" s="48">
        <f t="shared" si="1"/>
        <v>5.477272096444441E-3</v>
      </c>
      <c r="J17" s="48">
        <f t="shared" si="2"/>
        <v>0.19975579297904811</v>
      </c>
      <c r="K17" t="s">
        <v>154</v>
      </c>
    </row>
    <row r="18" spans="1:11" x14ac:dyDescent="0.3">
      <c r="A18" s="42" t="s">
        <v>33</v>
      </c>
      <c r="B18" s="42"/>
      <c r="C18" s="42"/>
      <c r="D18" s="42"/>
      <c r="E18" s="42"/>
      <c r="F18" s="46">
        <v>352755</v>
      </c>
      <c r="G18" s="46">
        <v>351002</v>
      </c>
      <c r="H18" s="46">
        <v>323888</v>
      </c>
      <c r="I18" s="48">
        <f t="shared" si="1"/>
        <v>4.994273536902849E-3</v>
      </c>
      <c r="J18" s="48">
        <f t="shared" si="2"/>
        <v>8.3714123400681739E-2</v>
      </c>
      <c r="K18" t="s">
        <v>154</v>
      </c>
    </row>
    <row r="19" spans="1:11" x14ac:dyDescent="0.3">
      <c r="A19" s="42"/>
      <c r="B19" s="42"/>
      <c r="C19" s="42"/>
      <c r="D19" s="42"/>
      <c r="E19" s="42"/>
      <c r="F19" s="45"/>
      <c r="G19" s="45"/>
      <c r="H19" s="45"/>
      <c r="I19" s="48"/>
      <c r="J19" s="48"/>
      <c r="K19" t="s">
        <v>154</v>
      </c>
    </row>
    <row r="20" spans="1:11" x14ac:dyDescent="0.3">
      <c r="A20" s="42" t="s">
        <v>40</v>
      </c>
      <c r="B20" s="42"/>
      <c r="C20" s="42"/>
      <c r="D20" s="42"/>
      <c r="E20" s="42"/>
      <c r="F20" s="46">
        <v>153982</v>
      </c>
      <c r="G20" s="46">
        <v>125481</v>
      </c>
      <c r="H20" s="46">
        <v>105392</v>
      </c>
      <c r="I20" s="48">
        <f t="shared" si="1"/>
        <v>0.22713398841258825</v>
      </c>
      <c r="J20" s="48">
        <f t="shared" si="2"/>
        <v>0.19061219067860935</v>
      </c>
      <c r="K20" t="s">
        <v>154</v>
      </c>
    </row>
    <row r="21" spans="1:11" x14ac:dyDescent="0.3">
      <c r="A21" s="41" t="s">
        <v>53</v>
      </c>
      <c r="B21" s="41"/>
      <c r="C21" s="41"/>
      <c r="D21" s="41"/>
      <c r="E21" s="41"/>
      <c r="F21" s="46">
        <v>148101</v>
      </c>
      <c r="G21" s="46">
        <v>162431</v>
      </c>
      <c r="H21" s="46">
        <v>153157</v>
      </c>
      <c r="I21" s="48">
        <f t="shared" si="1"/>
        <v>-8.8222075835277747E-2</v>
      </c>
      <c r="J21" s="48">
        <f t="shared" si="2"/>
        <v>6.0552243775994663E-2</v>
      </c>
      <c r="K21" t="s">
        <v>154</v>
      </c>
    </row>
    <row r="22" spans="1:11" x14ac:dyDescent="0.3">
      <c r="A22" s="41" t="s">
        <v>41</v>
      </c>
      <c r="B22" s="41"/>
      <c r="C22" s="41"/>
      <c r="D22" s="41"/>
      <c r="E22" s="41"/>
      <c r="F22" s="46">
        <v>302083</v>
      </c>
      <c r="G22" s="46">
        <v>287912</v>
      </c>
      <c r="H22" s="46">
        <v>258549</v>
      </c>
      <c r="I22" s="48">
        <f t="shared" si="1"/>
        <v>4.9219900525160565E-2</v>
      </c>
      <c r="J22" s="48">
        <f t="shared" si="2"/>
        <v>0.11356841449783217</v>
      </c>
      <c r="K22" t="s">
        <v>154</v>
      </c>
    </row>
    <row r="23" spans="1:11" x14ac:dyDescent="0.3">
      <c r="A23" s="41"/>
      <c r="B23" s="41"/>
      <c r="C23" s="41"/>
      <c r="D23" s="41"/>
      <c r="E23" s="41"/>
      <c r="F23" s="45"/>
      <c r="G23" s="45"/>
      <c r="H23" s="45"/>
      <c r="I23" s="48"/>
      <c r="J23" s="48"/>
      <c r="K23" t="s">
        <v>154</v>
      </c>
    </row>
    <row r="24" spans="1:11" x14ac:dyDescent="0.3">
      <c r="A24" s="41" t="s">
        <v>45</v>
      </c>
      <c r="B24" s="41"/>
      <c r="C24" s="41"/>
      <c r="D24" s="41"/>
      <c r="E24" s="41"/>
      <c r="F24" s="12">
        <v>50672</v>
      </c>
      <c r="G24" s="12">
        <v>63090</v>
      </c>
      <c r="H24" s="12">
        <v>65339</v>
      </c>
      <c r="I24" s="48">
        <f t="shared" si="1"/>
        <v>-0.19682992550324929</v>
      </c>
      <c r="J24" s="48">
        <f t="shared" si="2"/>
        <v>-3.4420483937617652E-2</v>
      </c>
      <c r="K24" t="s">
        <v>154</v>
      </c>
    </row>
  </sheetData>
  <mergeCells count="18">
    <mergeCell ref="A24:E24"/>
    <mergeCell ref="A19:E19"/>
    <mergeCell ref="A20:E20"/>
    <mergeCell ref="A21:E21"/>
    <mergeCell ref="A22:E22"/>
    <mergeCell ref="A23:E23"/>
    <mergeCell ref="A8:E8"/>
    <mergeCell ref="A12:E12"/>
    <mergeCell ref="A13:E13"/>
    <mergeCell ref="A14:E14"/>
    <mergeCell ref="A15:E15"/>
    <mergeCell ref="A16:E16"/>
    <mergeCell ref="A17:E17"/>
    <mergeCell ref="A18:E18"/>
    <mergeCell ref="F6:H6"/>
    <mergeCell ref="A10:E10"/>
    <mergeCell ref="A9:E9"/>
    <mergeCell ref="A11:E11"/>
  </mergeCells>
  <pageMargins left="0.7" right="0.7" top="0.75" bottom="0.75" header="0.3" footer="0.3"/>
  <ignoredErrors>
    <ignoredError sqref="F10:H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A0E6-DABC-4976-9621-B4D330C705C1}">
  <dimension ref="B6:H16"/>
  <sheetViews>
    <sheetView workbookViewId="0">
      <selection activeCell="B8" sqref="B8:E8"/>
    </sheetView>
  </sheetViews>
  <sheetFormatPr defaultRowHeight="14.4" x14ac:dyDescent="0.3"/>
  <cols>
    <col min="2" max="2" width="23.88671875" customWidth="1"/>
    <col min="3" max="5" width="12.33203125" bestFit="1" customWidth="1"/>
  </cols>
  <sheetData>
    <row r="6" spans="2:8" x14ac:dyDescent="0.3">
      <c r="F6" s="53" t="s">
        <v>158</v>
      </c>
      <c r="G6" s="53"/>
      <c r="H6" s="53"/>
    </row>
    <row r="7" spans="2:8" x14ac:dyDescent="0.3">
      <c r="C7" s="7">
        <v>2022</v>
      </c>
      <c r="D7" s="7">
        <v>2021</v>
      </c>
      <c r="E7" s="7">
        <v>2020</v>
      </c>
      <c r="F7" s="7">
        <v>2022</v>
      </c>
      <c r="G7" s="7">
        <v>2021</v>
      </c>
      <c r="H7" s="7">
        <v>2020</v>
      </c>
    </row>
    <row r="8" spans="2:8" x14ac:dyDescent="0.3">
      <c r="B8" s="7" t="s">
        <v>6</v>
      </c>
      <c r="C8" s="49">
        <v>394328</v>
      </c>
      <c r="D8" s="49">
        <v>365817</v>
      </c>
      <c r="E8" s="49">
        <v>274515</v>
      </c>
    </row>
    <row r="10" spans="2:8" x14ac:dyDescent="0.3">
      <c r="B10" s="52" t="s">
        <v>146</v>
      </c>
      <c r="C10" s="12">
        <v>223546</v>
      </c>
      <c r="D10" s="12">
        <v>212981</v>
      </c>
      <c r="E10" s="12">
        <v>169559</v>
      </c>
      <c r="F10" s="25">
        <f>C10/$C$8</f>
        <v>0.56690369438639909</v>
      </c>
      <c r="G10" s="25">
        <f>D10/$D$8</f>
        <v>0.58220640374832222</v>
      </c>
      <c r="H10" s="25">
        <f>C10/$E$8</f>
        <v>0.81433072873977741</v>
      </c>
    </row>
    <row r="11" spans="2:8" x14ac:dyDescent="0.3">
      <c r="B11" s="52" t="s">
        <v>89</v>
      </c>
      <c r="C11" s="12">
        <v>170782</v>
      </c>
      <c r="D11" s="12">
        <v>152836</v>
      </c>
      <c r="E11" s="12">
        <v>104956</v>
      </c>
      <c r="F11" s="25">
        <f t="shared" ref="F11:F16" si="0">C11/$C$8</f>
        <v>0.43309630561360085</v>
      </c>
      <c r="G11" s="25">
        <f t="shared" ref="G11:G16" si="1">D11/$D$8</f>
        <v>0.41779359625167778</v>
      </c>
      <c r="H11" s="25">
        <f t="shared" ref="H11:H16" si="2">C11/$E$8</f>
        <v>0.62212265267835998</v>
      </c>
    </row>
    <row r="12" spans="2:8" x14ac:dyDescent="0.3">
      <c r="B12" s="52" t="s">
        <v>157</v>
      </c>
      <c r="F12" s="25"/>
      <c r="G12" s="25"/>
      <c r="H12" s="25"/>
    </row>
    <row r="13" spans="2:8" x14ac:dyDescent="0.3">
      <c r="B13" s="44" t="s">
        <v>11</v>
      </c>
      <c r="C13" s="12">
        <v>26251</v>
      </c>
      <c r="D13" s="12">
        <v>21914</v>
      </c>
      <c r="E13" s="12">
        <v>18752</v>
      </c>
      <c r="F13" s="25">
        <f t="shared" si="0"/>
        <v>6.657148363798665E-2</v>
      </c>
      <c r="G13" s="25">
        <f t="shared" si="1"/>
        <v>5.9904269074427925E-2</v>
      </c>
      <c r="H13" s="25">
        <f t="shared" si="2"/>
        <v>9.5626832777808132E-2</v>
      </c>
    </row>
    <row r="14" spans="2:8" x14ac:dyDescent="0.3">
      <c r="B14" s="44" t="s">
        <v>12</v>
      </c>
      <c r="C14" s="12">
        <v>25094</v>
      </c>
      <c r="D14" s="12">
        <v>21973</v>
      </c>
      <c r="E14" s="12">
        <v>19916</v>
      </c>
      <c r="F14" s="25">
        <f t="shared" si="0"/>
        <v>6.3637378020328261E-2</v>
      </c>
      <c r="G14" s="25">
        <f t="shared" si="1"/>
        <v>6.006555190163388E-2</v>
      </c>
      <c r="H14" s="25">
        <f t="shared" si="2"/>
        <v>9.141212684188478E-2</v>
      </c>
    </row>
    <row r="15" spans="2:8" x14ac:dyDescent="0.3">
      <c r="B15" s="52" t="s">
        <v>14</v>
      </c>
      <c r="C15" s="12">
        <v>119437</v>
      </c>
      <c r="D15" s="12">
        <v>108949</v>
      </c>
      <c r="E15" s="12">
        <v>66288</v>
      </c>
      <c r="F15" s="25">
        <f t="shared" si="0"/>
        <v>0.30288744395528594</v>
      </c>
      <c r="G15" s="25">
        <f t="shared" si="1"/>
        <v>0.29782377527561593</v>
      </c>
      <c r="H15" s="25">
        <f t="shared" si="2"/>
        <v>0.43508369305866712</v>
      </c>
    </row>
    <row r="16" spans="2:8" x14ac:dyDescent="0.3">
      <c r="B16" s="52" t="s">
        <v>93</v>
      </c>
      <c r="C16" s="12">
        <v>99803</v>
      </c>
      <c r="D16" s="12">
        <v>94680</v>
      </c>
      <c r="E16" s="12">
        <v>57411</v>
      </c>
      <c r="F16" s="25">
        <f t="shared" si="0"/>
        <v>0.25309640705199732</v>
      </c>
      <c r="G16" s="25">
        <f t="shared" si="1"/>
        <v>0.25881793355694238</v>
      </c>
      <c r="H16" s="25">
        <f t="shared" si="2"/>
        <v>0.36356118973462287</v>
      </c>
    </row>
  </sheetData>
  <mergeCells count="1">
    <mergeCell ref="F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0DDC-ED0D-4F8C-A279-0693EB7F6236}">
  <dimension ref="A3:E23"/>
  <sheetViews>
    <sheetView workbookViewId="0">
      <selection activeCell="I21" sqref="I21"/>
    </sheetView>
  </sheetViews>
  <sheetFormatPr defaultRowHeight="14.4" x14ac:dyDescent="0.3"/>
  <cols>
    <col min="1" max="1" width="32.5546875" customWidth="1"/>
    <col min="2" max="2" width="8.88671875" customWidth="1"/>
    <col min="3" max="5" width="11.44140625" bestFit="1" customWidth="1"/>
  </cols>
  <sheetData>
    <row r="3" spans="1:5" x14ac:dyDescent="0.3">
      <c r="A3" s="1" t="s">
        <v>94</v>
      </c>
    </row>
    <row r="4" spans="1:5" x14ac:dyDescent="0.3">
      <c r="A4" s="1" t="s">
        <v>95</v>
      </c>
    </row>
    <row r="5" spans="1:5" x14ac:dyDescent="0.3">
      <c r="A5" s="1" t="s">
        <v>96</v>
      </c>
    </row>
    <row r="8" spans="1:5" x14ac:dyDescent="0.3">
      <c r="B8" t="s">
        <v>159</v>
      </c>
    </row>
    <row r="11" spans="1:5" x14ac:dyDescent="0.3">
      <c r="C11" s="7">
        <v>2022</v>
      </c>
      <c r="D11" s="7">
        <v>2021</v>
      </c>
      <c r="E11" s="7">
        <v>2020</v>
      </c>
    </row>
    <row r="12" spans="1:5" x14ac:dyDescent="0.3">
      <c r="A12" s="7" t="s">
        <v>6</v>
      </c>
      <c r="C12" s="49">
        <v>394328</v>
      </c>
      <c r="D12" s="49">
        <v>365817</v>
      </c>
      <c r="E12" s="49">
        <v>274515</v>
      </c>
    </row>
    <row r="13" spans="1:5" x14ac:dyDescent="0.3">
      <c r="A13" t="s">
        <v>50</v>
      </c>
      <c r="C13" s="15">
        <v>217350</v>
      </c>
      <c r="D13" s="15">
        <v>216166</v>
      </c>
      <c r="E13" s="15">
        <v>180175</v>
      </c>
    </row>
    <row r="14" spans="1:5" x14ac:dyDescent="0.3">
      <c r="A14" s="51" t="s">
        <v>32</v>
      </c>
      <c r="C14" s="12">
        <v>42117</v>
      </c>
      <c r="D14" s="12">
        <v>39440</v>
      </c>
      <c r="E14" s="12">
        <v>36766</v>
      </c>
    </row>
    <row r="15" spans="1:5" x14ac:dyDescent="0.3">
      <c r="A15" s="51" t="s">
        <v>59</v>
      </c>
      <c r="C15" s="12">
        <v>11104</v>
      </c>
      <c r="D15" s="12">
        <v>11284</v>
      </c>
      <c r="E15" s="12">
        <v>11056</v>
      </c>
    </row>
    <row r="16" spans="1:5" x14ac:dyDescent="0.3">
      <c r="A16" s="50" t="s">
        <v>160</v>
      </c>
      <c r="C16" s="54">
        <f>C14-D14+C15</f>
        <v>13781</v>
      </c>
      <c r="D16" s="54">
        <f>D14-E14+D15</f>
        <v>13958</v>
      </c>
      <c r="E16" s="54">
        <f>E14-F14+E15</f>
        <v>47822</v>
      </c>
    </row>
    <row r="17" spans="1:5" x14ac:dyDescent="0.3">
      <c r="A17" s="50"/>
      <c r="C17" s="37"/>
      <c r="D17" s="37"/>
      <c r="E17" s="37"/>
    </row>
    <row r="18" spans="1:5" x14ac:dyDescent="0.3">
      <c r="A18" s="50" t="s">
        <v>95</v>
      </c>
      <c r="C18" s="25">
        <f>C16/C12</f>
        <v>3.4948063541011543E-2</v>
      </c>
      <c r="D18" s="25">
        <f t="shared" ref="D18:E18" si="0">D16/D12</f>
        <v>3.8155689866791319E-2</v>
      </c>
      <c r="E18" s="25">
        <f t="shared" si="0"/>
        <v>0.17420541682603866</v>
      </c>
    </row>
    <row r="19" spans="1:5" x14ac:dyDescent="0.3">
      <c r="A19" s="50" t="s">
        <v>96</v>
      </c>
      <c r="C19" s="25">
        <f>C16/C13</f>
        <v>6.3404646882907756E-2</v>
      </c>
      <c r="D19" s="25">
        <f t="shared" ref="D19:E19" si="1">D16/D13</f>
        <v>6.4570746555887598E-2</v>
      </c>
      <c r="E19" s="25">
        <f t="shared" si="1"/>
        <v>0.265419730817261</v>
      </c>
    </row>
    <row r="20" spans="1:5" x14ac:dyDescent="0.3">
      <c r="A20" s="44" t="s">
        <v>94</v>
      </c>
    </row>
    <row r="21" spans="1:5" x14ac:dyDescent="0.3">
      <c r="A21" s="50"/>
    </row>
    <row r="22" spans="1:5" x14ac:dyDescent="0.3">
      <c r="A22" s="7"/>
      <c r="B22" s="49"/>
      <c r="C22" s="49"/>
      <c r="D22" s="49"/>
    </row>
    <row r="23" spans="1:5" x14ac:dyDescent="0.3">
      <c r="A23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Financial Statements</vt:lpstr>
      <vt:lpstr>List of Ratios</vt:lpstr>
      <vt:lpstr>List of Ratios Calculation</vt:lpstr>
      <vt:lpstr>Growth Rates Calculation</vt:lpstr>
      <vt:lpstr>margins  as a % of net sales</vt:lpstr>
      <vt:lpstr>Additional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Oluwapelumi Olanrewaju</cp:lastModifiedBy>
  <dcterms:created xsi:type="dcterms:W3CDTF">2020-05-18T16:32:37Z</dcterms:created>
  <dcterms:modified xsi:type="dcterms:W3CDTF">2024-09-07T00:29:56Z</dcterms:modified>
</cp:coreProperties>
</file>