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Financial Statements" sheetId="2" r:id="rId5"/>
    <sheet state="visible" name="List of Ratios" sheetId="3" r:id="rId6"/>
  </sheets>
  <definedNames/>
  <calcPr/>
  <extLst>
    <ext uri="GoogleSheetsCustomDataVersion2">
      <go:sheetsCustomData xmlns:go="http://customooxmlschemas.google.com/" r:id="rId7" roundtripDataChecksum="XvCfRitmJP2NJZkFBGzUXs4hBWf1Qq0KEq8YYvJfO5E="/>
    </ext>
  </extLst>
</workbook>
</file>

<file path=xl/sharedStrings.xml><?xml version="1.0" encoding="utf-8"?>
<sst xmlns="http://schemas.openxmlformats.org/spreadsheetml/2006/main" count="203" uniqueCount="155">
  <si>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</si>
  <si>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</si>
  <si>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</si>
  <si>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</si>
  <si>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</si>
  <si>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</si>
  <si>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</si>
  <si>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</si>
  <si>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</si>
  <si>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</si>
  <si>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</si>
  <si>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</si>
  <si>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</si>
  <si>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</si>
  <si>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</si>
  <si>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</si>
  <si>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</si>
  <si>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</si>
  <si>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</si>
  <si>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</si>
  <si>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</si>
  <si>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</si>
  <si>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</si>
  <si>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</si>
  <si>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</si>
  <si>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</si>
  <si>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</si>
  <si>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</si>
  <si>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</si>
  <si>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</si>
  <si>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</si>
  <si>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</si>
  <si>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</si>
  <si>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</si>
  <si>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</si>
  <si>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</si>
  <si>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</si>
  <si>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</si>
  <si>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</si>
  <si>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</si>
  <si>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</si>
  <si>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</si>
  <si>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</si>
  <si>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</si>
  <si>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</si>
  <si>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</si>
  <si>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</si>
  <si>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</si>
  <si>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</si>
  <si>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</si>
  <si>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</si>
  <si>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</si>
  <si>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</si>
  <si>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</si>
  <si>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</si>
  <si>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</si>
  <si>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</si>
  <si>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</si>
  <si>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</si>
  <si>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</si>
  <si>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</si>
  <si>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</si>
  <si>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</si>
  <si>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</si>
  <si>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</si>
  <si>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</si>
  <si>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</si>
  <si>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</si>
  <si>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</si>
  <si>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</si>
  <si>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</si>
  <si>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</si>
  <si>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</si>
  <si>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</si>
  <si>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</si>
  <si>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</si>
  <si>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</si>
  <si>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</si>
  <si>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</si>
  <si>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</si>
  <si>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</si>
  <si>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</si>
  <si>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</si>
  <si>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</si>
  <si>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</si>
  <si>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</si>
  <si>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</si>
  <si>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</si>
  <si>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</si>
  <si>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</si>
  <si>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</si>
  <si>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</si>
  <si>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</si>
  <si>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</si>
  <si>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</si>
  <si>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</si>
  <si>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</si>
  <si>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</si>
  <si>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</si>
  <si>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</si>
  <si>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</si>
  <si>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</si>
  <si>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</si>
  <si>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</si>
  <si>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</si>
  <si>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</si>
  <si>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</si>
  <si>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</si>
  <si>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Working capital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</si>
  <si>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</si>
  <si>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</si>
  <si>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</si>
  <si>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</si>
  <si>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</si>
  <si>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</si>
  <si>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</si>
  <si>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</si>
  <si>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</si>
  <si>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</si>
  <si>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</si>
  <si>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</si>
  <si>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</si>
  <si>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</si>
  <si>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</si>
  <si>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</si>
  <si>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</si>
  <si>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</si>
  <si>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</si>
  <si>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</si>
  <si>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</si>
  <si>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</si>
  <si>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</si>
  <si>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</si>
  <si>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</si>
  <si>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</si>
  <si>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</si>
  <si>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</si>
  <si>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</si>
  <si>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</si>
  <si>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</si>
  <si>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</si>
  <si>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</si>
  <si>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</si>
  <si>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stock price per share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</si>
  <si>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</si>
  <si>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</si>
  <si>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</si>
  <si>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</si>
  <si>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</si>
  <si>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</si>
  <si>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</si>
  <si>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</si>
  <si>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market capitalisation</t>
  </si>
  <si>
    <t>Growth rates</t>
  </si>
  <si>
    <t>Margins/ as a % of net sales for the following: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</si>
</sst>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_(* #,##0_);_(* \(#,##0\);_(* &quot;-&quot;??_);_(@_)"/>
    <numFmt numFmtId="165" formatCode="0.0000"/>
    <numFmt numFmtId="166" formatCode="0.0"/>
    <numFmt numFmtId="167" formatCode="#,##0.0000;(#,##0.0000)"/>
    <numFmt numFmtId="168" formatCode="#,##0.0;(#,##0.0)"/>
    <numFmt numFmtId="169" formatCode="0.0000000"/>
    <numFmt numFmtId="170" formatCode="0.00000"/>
    <numFmt numFmtId="171" formatCode="#,##0.00;(#,##0.00)"/>
    <numFmt numFmtId="172" formatCode="#,##0.00000;(#,##0.00000)"/>
  </numFmts>
  <fonts count="11">
    <font>
      <sz val="11.0"/>
      <color theme="1"/>
      <name val="Calibri"/>
      <scheme val="minor"/>
    </font>
    <font>
      <b/>
      <sz val="18.0"/>
      <color theme="0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sz val="11.0"/>
      <color theme="1"/>
      <name val="Calibri"/>
    </font>
    <font>
      <b/>
      <sz val="20.0"/>
      <color theme="0"/>
      <name val="Calibri"/>
    </font>
    <font>
      <sz val="11.0"/>
      <color theme="0"/>
      <name val="Calibri"/>
    </font>
    <font/>
    <font>
      <color theme="1"/>
      <name val="Calibri"/>
      <scheme val="minor"/>
    </font>
    <font>
      <b/>
      <color theme="1"/>
      <name val="Calibri"/>
      <scheme val="minor"/>
    </font>
    <font>
      <sz val="20.0"/>
      <color theme="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E2EFD9"/>
        <bgColor rgb="FFE2EFD9"/>
      </patternFill>
    </fill>
  </fills>
  <borders count="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2" numFmtId="0" xfId="0" applyAlignment="1" applyFont="1">
      <alignment horizontal="left"/>
    </xf>
    <xf borderId="1" fillId="2" fontId="5" numFmtId="0" xfId="0" applyAlignment="1" applyBorder="1" applyFont="1">
      <alignment vertical="center"/>
    </xf>
    <xf borderId="1" fillId="2" fontId="6" numFmtId="0" xfId="0" applyBorder="1" applyFont="1"/>
    <xf borderId="2" fillId="3" fontId="2" numFmtId="0" xfId="0" applyAlignment="1" applyBorder="1" applyFill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0" fillId="0" fontId="2" numFmtId="0" xfId="0" applyAlignment="1" applyFont="1">
      <alignment horizontal="center"/>
    </xf>
    <xf borderId="0" fillId="0" fontId="8" numFmtId="0" xfId="0" applyFont="1"/>
    <xf borderId="0" fillId="0" fontId="4" numFmtId="164" xfId="0" applyFont="1" applyNumberFormat="1"/>
    <xf borderId="5" fillId="0" fontId="2" numFmtId="0" xfId="0" applyBorder="1" applyFont="1"/>
    <xf borderId="5" fillId="0" fontId="2" numFmtId="164" xfId="0" applyBorder="1" applyFont="1" applyNumberFormat="1"/>
    <xf borderId="6" fillId="0" fontId="2" numFmtId="0" xfId="0" applyBorder="1" applyFont="1"/>
    <xf borderId="6" fillId="0" fontId="2" numFmtId="164" xfId="0" applyBorder="1" applyFont="1" applyNumberFormat="1"/>
    <xf borderId="1" fillId="4" fontId="4" numFmtId="0" xfId="0" applyBorder="1" applyFill="1" applyFont="1"/>
    <xf borderId="0" fillId="0" fontId="4" numFmtId="3" xfId="0" applyFont="1" applyNumberFormat="1"/>
    <xf borderId="7" fillId="0" fontId="2" numFmtId="0" xfId="0" applyAlignment="1" applyBorder="1" applyFont="1">
      <alignment horizontal="left"/>
    </xf>
    <xf borderId="7" fillId="0" fontId="4" numFmtId="164" xfId="0" applyBorder="1" applyFont="1" applyNumberFormat="1"/>
    <xf borderId="0" fillId="0" fontId="2" numFmtId="164" xfId="0" applyFont="1" applyNumberFormat="1"/>
    <xf borderId="0" fillId="0" fontId="9" numFmtId="0" xfId="0" applyAlignment="1" applyFont="1">
      <alignment readingOrder="0"/>
    </xf>
    <xf borderId="0" fillId="0" fontId="9" numFmtId="164" xfId="0" applyFont="1" applyNumberFormat="1"/>
    <xf borderId="0" fillId="0" fontId="8" numFmtId="165" xfId="0" applyFont="1" applyNumberFormat="1"/>
    <xf borderId="1" fillId="2" fontId="10" numFmtId="0" xfId="0" applyAlignment="1" applyBorder="1" applyFont="1">
      <alignment horizontal="left"/>
    </xf>
    <xf borderId="1" fillId="2" fontId="6" numFmtId="0" xfId="0" applyAlignment="1" applyBorder="1" applyFont="1">
      <alignment horizontal="center"/>
    </xf>
    <xf borderId="0" fillId="0" fontId="4" numFmtId="166" xfId="0" applyFont="1" applyNumberFormat="1"/>
    <xf borderId="8" fillId="0" fontId="4" numFmtId="166" xfId="0" applyBorder="1" applyFont="1" applyNumberFormat="1"/>
    <xf borderId="8" fillId="0" fontId="4" numFmtId="0" xfId="0" applyAlignment="1" applyBorder="1" applyFont="1">
      <alignment horizontal="left"/>
    </xf>
    <xf borderId="8" fillId="0" fontId="8" numFmtId="167" xfId="0" applyBorder="1" applyFont="1" applyNumberFormat="1"/>
    <xf borderId="8" fillId="0" fontId="8" numFmtId="10" xfId="0" applyBorder="1" applyFont="1" applyNumberFormat="1"/>
    <xf borderId="8" fillId="0" fontId="8" numFmtId="168" xfId="0" applyBorder="1" applyFont="1" applyNumberFormat="1"/>
    <xf borderId="0" fillId="0" fontId="8" numFmtId="167" xfId="0" applyFont="1" applyNumberFormat="1"/>
    <xf borderId="0" fillId="0" fontId="8" numFmtId="169" xfId="0" applyFont="1" applyNumberFormat="1"/>
    <xf borderId="8" fillId="0" fontId="8" numFmtId="170" xfId="0" applyBorder="1" applyFont="1" applyNumberFormat="1"/>
    <xf borderId="8" fillId="0" fontId="8" numFmtId="171" xfId="0" applyBorder="1" applyFont="1" applyNumberFormat="1"/>
    <xf borderId="8" fillId="0" fontId="8" numFmtId="169" xfId="0" applyBorder="1" applyFont="1" applyNumberFormat="1"/>
    <xf borderId="8" fillId="0" fontId="8" numFmtId="169" xfId="0" applyAlignment="1" applyBorder="1" applyFont="1" applyNumberFormat="1">
      <alignment readingOrder="0"/>
    </xf>
    <xf borderId="8" fillId="0" fontId="4" numFmtId="0" xfId="0" applyAlignment="1" applyBorder="1" applyFont="1">
      <alignment horizontal="left" readingOrder="0"/>
    </xf>
    <xf borderId="8" fillId="0" fontId="8" numFmtId="172" xfId="0" applyBorder="1" applyFont="1" applyNumberFormat="1"/>
    <xf borderId="8" fillId="0" fontId="8" numFmtId="171" xfId="0" applyAlignment="1" applyBorder="1" applyFont="1" applyNumberFormat="1">
      <alignment readingOrder="0"/>
    </xf>
    <xf borderId="8" fillId="0" fontId="8" numFmtId="0" xfId="0" applyBorder="1" applyFont="1"/>
    <xf borderId="8" fillId="0" fontId="8" numFmtId="0" xfId="0" applyAlignment="1" applyBorder="1" applyFont="1">
      <alignment readingOrder="0"/>
    </xf>
    <xf borderId="0" fillId="0" fontId="8" numFmtId="0" xfId="0" applyAlignment="1" applyFont="1">
      <alignment readingOrder="0"/>
    </xf>
    <xf borderId="8" fillId="0" fontId="4" numFmtId="0" xfId="0" applyBorder="1" applyFont="1"/>
    <xf borderId="8" fillId="0" fontId="4" numFmtId="167" xfId="0" applyBorder="1" applyFont="1" applyNumberFormat="1"/>
    <xf borderId="8" fillId="0" fontId="2" numFmtId="171" xfId="0" applyBorder="1" applyFont="1" applyNumberFormat="1"/>
    <xf borderId="8" fillId="0" fontId="4" numFmtId="171" xfId="0" applyBorder="1" applyFont="1" applyNumberFormat="1"/>
    <xf borderId="0" fillId="0" fontId="8" numFmtId="171" xfId="0" applyFont="1" applyNumberFormat="1"/>
    <xf borderId="8" fillId="0" fontId="2" numFmtId="0" xfId="0" applyBorder="1" applyFont="1"/>
    <xf borderId="0" fillId="0" fontId="8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nvestor.apple.com/investor-relations/default.aspx" TargetMode="External"/><Relationship Id="rId2" Type="http://schemas.openxmlformats.org/officeDocument/2006/relationships/hyperlink" Target="https://www.bloomberg.com/quote/AAPL:US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4.57"/>
    <col customWidth="1" min="2" max="26" width="8.71"/>
  </cols>
  <sheetData>
    <row r="1" ht="14.25" customHeight="1">
      <c r="A1" s="1" t="s">
        <v>0</v>
      </c>
    </row>
    <row r="2" ht="14.25" customHeight="1"/>
    <row r="3" ht="14.25" customHeight="1">
      <c r="A3" s="2" t="s">
        <v>1</v>
      </c>
    </row>
    <row r="4" ht="14.25" customHeight="1">
      <c r="A4" s="3" t="s">
        <v>2</v>
      </c>
    </row>
    <row r="5" ht="14.25" customHeight="1">
      <c r="A5" s="2" t="s">
        <v>3</v>
      </c>
    </row>
    <row r="6" ht="14.25" customHeight="1">
      <c r="A6" s="4" t="s">
        <v>4</v>
      </c>
    </row>
    <row r="7" ht="14.25" customHeight="1">
      <c r="A7" s="4"/>
    </row>
    <row r="8" ht="14.25" customHeight="1">
      <c r="A8" s="5" t="s">
        <v>5</v>
      </c>
    </row>
    <row r="9" ht="14.25" customHeight="1">
      <c r="A9" s="4" t="s">
        <v>6</v>
      </c>
    </row>
    <row r="10" ht="14.25" customHeight="1">
      <c r="A10" s="4" t="s">
        <v>7</v>
      </c>
    </row>
    <row r="11" ht="14.25" customHeight="1">
      <c r="A11" s="4" t="s">
        <v>8</v>
      </c>
    </row>
    <row r="12" ht="14.25" customHeight="1">
      <c r="A12" s="4" t="s">
        <v>9</v>
      </c>
    </row>
    <row r="13" ht="14.25" customHeight="1">
      <c r="A13" s="4"/>
    </row>
    <row r="14" ht="14.25" customHeight="1">
      <c r="A14" s="5" t="s">
        <v>10</v>
      </c>
    </row>
    <row r="15" ht="14.25" customHeight="1">
      <c r="A15" s="4" t="s">
        <v>11</v>
      </c>
    </row>
    <row r="16" ht="14.25" customHeight="1">
      <c r="A16" s="4" t="s">
        <v>7</v>
      </c>
    </row>
    <row r="17" ht="14.25" customHeight="1">
      <c r="A17" s="4" t="s">
        <v>8</v>
      </c>
    </row>
    <row r="18" ht="14.25" customHeight="1">
      <c r="A18" s="4" t="s">
        <v>12</v>
      </c>
    </row>
    <row r="19" ht="14.25" customHeight="1">
      <c r="A19" s="4" t="s">
        <v>13</v>
      </c>
    </row>
    <row r="20" ht="14.25" customHeight="1">
      <c r="A20" s="4"/>
    </row>
    <row r="21" ht="14.25" customHeight="1">
      <c r="A21" s="5" t="s">
        <v>14</v>
      </c>
    </row>
    <row r="22" ht="14.25" customHeight="1">
      <c r="A22" s="4" t="s">
        <v>15</v>
      </c>
    </row>
    <row r="23" ht="14.25" customHeight="1">
      <c r="A23" s="4" t="s">
        <v>16</v>
      </c>
    </row>
    <row r="24" ht="14.25" customHeight="1">
      <c r="A24" s="4" t="s">
        <v>17</v>
      </c>
    </row>
    <row r="25" ht="14.25" customHeight="1">
      <c r="A25" s="4"/>
    </row>
    <row r="26" ht="14.25" customHeight="1">
      <c r="A26" s="5" t="s">
        <v>18</v>
      </c>
    </row>
    <row r="27" ht="14.25" customHeight="1">
      <c r="A27" s="3" t="s">
        <v>19</v>
      </c>
    </row>
    <row r="28" ht="14.25" customHeight="1"/>
    <row r="29" ht="14.25" customHeight="1">
      <c r="A29" s="2" t="s">
        <v>20</v>
      </c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:id="rId1" ref="A4"/>
    <hyperlink r:id="rId2" ref="A27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86"/>
    <col customWidth="1" min="2" max="3" width="11.57"/>
    <col customWidth="1" min="4" max="4" width="11.71"/>
    <col customWidth="1" min="5" max="26" width="8.71"/>
  </cols>
  <sheetData>
    <row r="1" ht="60.0" customHeight="1">
      <c r="A1" s="6" t="s">
        <v>21</v>
      </c>
      <c r="B1" s="7" t="s">
        <v>22</v>
      </c>
      <c r="C1" s="7"/>
      <c r="D1" s="7"/>
      <c r="E1" s="7"/>
      <c r="F1" s="7"/>
      <c r="G1" s="7"/>
      <c r="H1" s="7"/>
      <c r="I1" s="7"/>
      <c r="J1" s="7"/>
    </row>
    <row r="2" ht="14.25" customHeight="1">
      <c r="A2" s="8" t="s">
        <v>23</v>
      </c>
      <c r="B2" s="9"/>
      <c r="C2" s="9"/>
      <c r="D2" s="10"/>
    </row>
    <row r="3" ht="14.25" customHeight="1">
      <c r="B3" s="11" t="s">
        <v>24</v>
      </c>
    </row>
    <row r="4" ht="14.25" customHeight="1">
      <c r="B4" s="2">
        <v>2022.0</v>
      </c>
      <c r="C4" s="2">
        <v>2021.0</v>
      </c>
      <c r="D4" s="2">
        <v>2020.0</v>
      </c>
    </row>
    <row r="5" ht="14.25" customHeight="1">
      <c r="A5" s="12" t="s">
        <v>25</v>
      </c>
    </row>
    <row r="6" ht="14.25" customHeight="1">
      <c r="A6" s="4" t="s">
        <v>26</v>
      </c>
      <c r="B6" s="13">
        <v>316199.0</v>
      </c>
      <c r="C6" s="13">
        <v>297392.0</v>
      </c>
      <c r="D6" s="13">
        <v>220747.0</v>
      </c>
    </row>
    <row r="7" ht="14.25" customHeight="1">
      <c r="A7" s="4" t="s">
        <v>27</v>
      </c>
      <c r="B7" s="13">
        <v>78129.0</v>
      </c>
      <c r="C7" s="13">
        <v>68425.0</v>
      </c>
      <c r="D7" s="13">
        <v>53768.0</v>
      </c>
    </row>
    <row r="8" ht="14.25" customHeight="1">
      <c r="A8" s="14" t="s">
        <v>28</v>
      </c>
      <c r="B8" s="15">
        <f t="shared" ref="B8:D8" si="1">+B6+B7</f>
        <v>394328</v>
      </c>
      <c r="C8" s="15">
        <f t="shared" si="1"/>
        <v>365817</v>
      </c>
      <c r="D8" s="15">
        <f t="shared" si="1"/>
        <v>274515</v>
      </c>
    </row>
    <row r="9" ht="14.25" customHeight="1">
      <c r="A9" s="12" t="s">
        <v>29</v>
      </c>
      <c r="B9" s="13"/>
      <c r="C9" s="13"/>
      <c r="D9" s="13"/>
    </row>
    <row r="10" ht="14.25" customHeight="1">
      <c r="A10" s="4" t="s">
        <v>26</v>
      </c>
      <c r="B10" s="13">
        <v>201471.0</v>
      </c>
      <c r="C10" s="13">
        <v>192266.0</v>
      </c>
      <c r="D10" s="13">
        <v>151286.0</v>
      </c>
    </row>
    <row r="11" ht="14.25" customHeight="1">
      <c r="A11" s="4" t="s">
        <v>27</v>
      </c>
      <c r="B11" s="13">
        <v>22075.0</v>
      </c>
      <c r="C11" s="13">
        <v>20715.0</v>
      </c>
      <c r="D11" s="13">
        <v>18273.0</v>
      </c>
    </row>
    <row r="12" ht="14.25" customHeight="1">
      <c r="A12" s="14" t="s">
        <v>30</v>
      </c>
      <c r="B12" s="15">
        <f t="shared" ref="B12:D12" si="2">+B10+B11</f>
        <v>223546</v>
      </c>
      <c r="C12" s="15">
        <f t="shared" si="2"/>
        <v>212981</v>
      </c>
      <c r="D12" s="15">
        <f t="shared" si="2"/>
        <v>169559</v>
      </c>
    </row>
    <row r="13" ht="14.25" customHeight="1">
      <c r="A13" s="14" t="s">
        <v>31</v>
      </c>
      <c r="B13" s="15">
        <f t="shared" ref="B13:D13" si="3">+B8-B12</f>
        <v>170782</v>
      </c>
      <c r="C13" s="15">
        <f t="shared" si="3"/>
        <v>152836</v>
      </c>
      <c r="D13" s="15">
        <f t="shared" si="3"/>
        <v>104956</v>
      </c>
    </row>
    <row r="14" ht="14.25" customHeight="1">
      <c r="A14" s="12" t="s">
        <v>32</v>
      </c>
      <c r="B14" s="13"/>
      <c r="C14" s="13"/>
      <c r="D14" s="13"/>
    </row>
    <row r="15" ht="14.25" customHeight="1">
      <c r="A15" s="4" t="s">
        <v>33</v>
      </c>
      <c r="B15" s="13">
        <v>26251.0</v>
      </c>
      <c r="C15" s="13">
        <v>21914.0</v>
      </c>
      <c r="D15" s="13">
        <v>18752.0</v>
      </c>
    </row>
    <row r="16" ht="14.25" customHeight="1">
      <c r="A16" s="4" t="s">
        <v>34</v>
      </c>
      <c r="B16" s="13">
        <v>25094.0</v>
      </c>
      <c r="C16" s="13">
        <v>21973.0</v>
      </c>
      <c r="D16" s="13">
        <v>19916.0</v>
      </c>
    </row>
    <row r="17" ht="14.25" customHeight="1">
      <c r="A17" s="14" t="s">
        <v>35</v>
      </c>
      <c r="B17" s="15">
        <f t="shared" ref="B17:D17" si="4">+B15+B16</f>
        <v>51345</v>
      </c>
      <c r="C17" s="15">
        <f t="shared" si="4"/>
        <v>43887</v>
      </c>
      <c r="D17" s="15">
        <f t="shared" si="4"/>
        <v>38668</v>
      </c>
    </row>
    <row r="18" ht="14.25" customHeight="1">
      <c r="A18" s="14" t="s">
        <v>12</v>
      </c>
      <c r="B18" s="15">
        <f t="shared" ref="B18:D18" si="5">+B13-B17</f>
        <v>119437</v>
      </c>
      <c r="C18" s="15">
        <f t="shared" si="5"/>
        <v>108949</v>
      </c>
      <c r="D18" s="15">
        <f t="shared" si="5"/>
        <v>66288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12" t="s">
        <v>36</v>
      </c>
      <c r="B19" s="13">
        <v>-334.0</v>
      </c>
      <c r="C19" s="13">
        <v>258.0</v>
      </c>
      <c r="D19" s="13">
        <v>803.0</v>
      </c>
    </row>
    <row r="20" ht="14.25" customHeight="1">
      <c r="A20" s="14" t="s">
        <v>37</v>
      </c>
      <c r="B20" s="15">
        <f t="shared" ref="B20:D20" si="6">+B18+B19</f>
        <v>119103</v>
      </c>
      <c r="C20" s="15">
        <f t="shared" si="6"/>
        <v>109207</v>
      </c>
      <c r="D20" s="15">
        <f t="shared" si="6"/>
        <v>67091</v>
      </c>
    </row>
    <row r="21" ht="14.25" customHeight="1">
      <c r="A21" s="12" t="s">
        <v>38</v>
      </c>
      <c r="B21" s="13">
        <v>19300.0</v>
      </c>
      <c r="C21" s="13">
        <v>14527.0</v>
      </c>
      <c r="D21" s="13">
        <v>9680.0</v>
      </c>
    </row>
    <row r="22" ht="14.25" customHeight="1">
      <c r="A22" s="16" t="s">
        <v>39</v>
      </c>
      <c r="B22" s="17">
        <f t="shared" ref="B22:D22" si="7">+B20-B21</f>
        <v>99803</v>
      </c>
      <c r="C22" s="17">
        <f t="shared" si="7"/>
        <v>94680</v>
      </c>
      <c r="D22" s="17">
        <f t="shared" si="7"/>
        <v>57411</v>
      </c>
    </row>
    <row r="23" ht="14.25" customHeight="1">
      <c r="A23" s="12" t="s">
        <v>40</v>
      </c>
    </row>
    <row r="24" ht="14.25" customHeight="1">
      <c r="A24" s="4" t="s">
        <v>41</v>
      </c>
      <c r="B24" s="18">
        <v>6.15</v>
      </c>
      <c r="C24" s="18">
        <v>5.67</v>
      </c>
      <c r="D24" s="18">
        <v>3.31</v>
      </c>
    </row>
    <row r="25" ht="14.25" customHeight="1">
      <c r="A25" s="4" t="s">
        <v>42</v>
      </c>
      <c r="B25" s="18">
        <v>6.11</v>
      </c>
      <c r="C25" s="18">
        <v>5.61</v>
      </c>
      <c r="D25" s="18">
        <v>3.28</v>
      </c>
    </row>
    <row r="26" ht="14.25" customHeight="1">
      <c r="A26" s="12" t="s">
        <v>43</v>
      </c>
    </row>
    <row r="27" ht="14.25" customHeight="1">
      <c r="A27" s="4" t="s">
        <v>41</v>
      </c>
      <c r="B27" s="19">
        <v>1.6215963E7</v>
      </c>
      <c r="C27" s="19">
        <v>1.6701272E7</v>
      </c>
      <c r="D27" s="19">
        <v>1.7352119E7</v>
      </c>
    </row>
    <row r="28" ht="14.25" customHeight="1">
      <c r="A28" s="4" t="s">
        <v>42</v>
      </c>
      <c r="B28" s="19">
        <v>1.6325819E7</v>
      </c>
      <c r="C28" s="19">
        <v>1.6864919E7</v>
      </c>
      <c r="D28" s="19">
        <v>1.7528214E7</v>
      </c>
    </row>
    <row r="29" ht="14.25" customHeight="1"/>
    <row r="30" ht="14.25" customHeight="1"/>
    <row r="31" ht="14.25" customHeight="1">
      <c r="A31" s="8" t="s">
        <v>44</v>
      </c>
      <c r="B31" s="9"/>
      <c r="C31" s="9"/>
      <c r="D31" s="10"/>
    </row>
    <row r="32" ht="14.25" customHeight="1">
      <c r="B32" s="11" t="s">
        <v>45</v>
      </c>
    </row>
    <row r="33" ht="14.25" customHeight="1">
      <c r="B33" s="2">
        <f t="shared" ref="B33:D33" si="8">+B4</f>
        <v>2022</v>
      </c>
      <c r="C33" s="2">
        <f t="shared" si="8"/>
        <v>2021</v>
      </c>
      <c r="D33" s="2">
        <f t="shared" si="8"/>
        <v>2020</v>
      </c>
    </row>
    <row r="34" ht="14.25" customHeight="1"/>
    <row r="35" ht="14.25" customHeight="1">
      <c r="A35" s="12" t="s">
        <v>46</v>
      </c>
    </row>
    <row r="36" ht="14.25" customHeight="1">
      <c r="A36" s="4" t="s">
        <v>47</v>
      </c>
      <c r="B36" s="13">
        <v>23646.0</v>
      </c>
      <c r="C36" s="13">
        <v>34940.0</v>
      </c>
      <c r="D36" s="13">
        <v>38016.0</v>
      </c>
    </row>
    <row r="37" ht="14.25" customHeight="1">
      <c r="A37" s="4" t="s">
        <v>48</v>
      </c>
      <c r="B37" s="13">
        <v>24658.0</v>
      </c>
      <c r="C37" s="13">
        <v>27699.0</v>
      </c>
      <c r="D37" s="13">
        <v>52927.0</v>
      </c>
    </row>
    <row r="38" ht="14.25" customHeight="1">
      <c r="A38" s="4" t="s">
        <v>49</v>
      </c>
      <c r="B38" s="13">
        <v>28184.0</v>
      </c>
      <c r="C38" s="13">
        <v>26278.0</v>
      </c>
      <c r="D38" s="13">
        <v>16120.0</v>
      </c>
    </row>
    <row r="39" ht="14.25" customHeight="1">
      <c r="A39" s="4" t="s">
        <v>50</v>
      </c>
      <c r="B39" s="13">
        <v>4946.0</v>
      </c>
      <c r="C39" s="13">
        <v>6580.0</v>
      </c>
      <c r="D39" s="13">
        <v>4061.0</v>
      </c>
    </row>
    <row r="40" ht="14.25" customHeight="1">
      <c r="A40" s="4" t="s">
        <v>51</v>
      </c>
      <c r="B40" s="13">
        <v>32748.0</v>
      </c>
      <c r="C40" s="13">
        <v>25228.0</v>
      </c>
      <c r="D40" s="13">
        <f>142.85/C24</f>
        <v>25.19400353</v>
      </c>
    </row>
    <row r="41" ht="14.25" customHeight="1">
      <c r="A41" s="4" t="s">
        <v>52</v>
      </c>
      <c r="B41" s="13">
        <v>21223.0</v>
      </c>
      <c r="C41" s="13">
        <v>14111.0</v>
      </c>
      <c r="D41" s="13">
        <v>11264.0</v>
      </c>
    </row>
    <row r="42" ht="14.25" customHeight="1">
      <c r="A42" s="14" t="s">
        <v>53</v>
      </c>
      <c r="B42" s="15">
        <f t="shared" ref="B42:D42" si="9">+SUM(B36:B41)</f>
        <v>135405</v>
      </c>
      <c r="C42" s="15">
        <f t="shared" si="9"/>
        <v>134836</v>
      </c>
      <c r="D42" s="15">
        <f t="shared" si="9"/>
        <v>122413.194</v>
      </c>
    </row>
    <row r="43" ht="14.25" customHeight="1">
      <c r="A43" s="12" t="s">
        <v>54</v>
      </c>
      <c r="B43" s="13"/>
      <c r="C43" s="13"/>
      <c r="D43" s="13"/>
    </row>
    <row r="44" ht="14.25" customHeight="1">
      <c r="A44" s="4" t="s">
        <v>48</v>
      </c>
      <c r="B44" s="13">
        <v>120805.0</v>
      </c>
      <c r="C44" s="13">
        <v>127877.0</v>
      </c>
      <c r="D44" s="13">
        <v>100887.0</v>
      </c>
    </row>
    <row r="45" ht="14.25" customHeight="1">
      <c r="A45" s="4" t="s">
        <v>55</v>
      </c>
      <c r="B45" s="13">
        <v>42117.0</v>
      </c>
      <c r="C45" s="13">
        <v>39440.0</v>
      </c>
      <c r="D45" s="13">
        <v>36766.0</v>
      </c>
    </row>
    <row r="46" ht="14.25" customHeight="1">
      <c r="A46" s="4" t="s">
        <v>56</v>
      </c>
      <c r="B46" s="13">
        <v>54428.0</v>
      </c>
      <c r="C46" s="13">
        <v>48849.0</v>
      </c>
      <c r="D46" s="13">
        <v>42522.0</v>
      </c>
    </row>
    <row r="47" ht="14.25" customHeight="1">
      <c r="A47" s="14" t="s">
        <v>57</v>
      </c>
      <c r="B47" s="15">
        <f t="shared" ref="B47:D47" si="10">+SUM(B44:B46)</f>
        <v>217350</v>
      </c>
      <c r="C47" s="15">
        <f t="shared" si="10"/>
        <v>216166</v>
      </c>
      <c r="D47" s="15">
        <f t="shared" si="10"/>
        <v>180175</v>
      </c>
    </row>
    <row r="48" ht="14.25" customHeight="1">
      <c r="A48" s="16" t="s">
        <v>58</v>
      </c>
      <c r="B48" s="17">
        <f t="shared" ref="B48:D48" si="11">+B42+B47</f>
        <v>352755</v>
      </c>
      <c r="C48" s="17">
        <f t="shared" si="11"/>
        <v>351002</v>
      </c>
      <c r="D48" s="17">
        <f t="shared" si="11"/>
        <v>302588.194</v>
      </c>
    </row>
    <row r="49" ht="14.25" customHeight="1"/>
    <row r="50" ht="14.25" customHeight="1">
      <c r="A50" s="12" t="s">
        <v>59</v>
      </c>
    </row>
    <row r="51" ht="14.25" customHeight="1">
      <c r="A51" s="4" t="s">
        <v>60</v>
      </c>
      <c r="B51" s="13">
        <v>64115.0</v>
      </c>
      <c r="C51" s="13">
        <v>54763.0</v>
      </c>
      <c r="D51" s="13">
        <v>42296.0</v>
      </c>
    </row>
    <row r="52" ht="14.25" customHeight="1">
      <c r="A52" s="4" t="s">
        <v>61</v>
      </c>
      <c r="B52" s="13">
        <v>60845.0</v>
      </c>
      <c r="C52" s="13">
        <v>47493.0</v>
      </c>
      <c r="D52" s="13">
        <v>42684.0</v>
      </c>
    </row>
    <row r="53" ht="14.25" customHeight="1">
      <c r="A53" s="4" t="s">
        <v>62</v>
      </c>
      <c r="B53" s="13">
        <v>7912.0</v>
      </c>
      <c r="C53" s="13">
        <v>7612.0</v>
      </c>
      <c r="D53" s="13">
        <v>6643.0</v>
      </c>
    </row>
    <row r="54" ht="14.25" customHeight="1">
      <c r="A54" s="4" t="s">
        <v>63</v>
      </c>
      <c r="B54" s="13">
        <v>9982.0</v>
      </c>
      <c r="C54" s="13">
        <v>6000.0</v>
      </c>
      <c r="D54" s="13">
        <v>4996.0</v>
      </c>
    </row>
    <row r="55" ht="14.25" customHeight="1">
      <c r="A55" s="4" t="s">
        <v>64</v>
      </c>
      <c r="B55" s="13">
        <v>11128.0</v>
      </c>
      <c r="C55" s="13">
        <v>9613.0</v>
      </c>
      <c r="D55" s="13">
        <v>8773.0</v>
      </c>
    </row>
    <row r="56" ht="14.25" customHeight="1">
      <c r="A56" s="14" t="s">
        <v>65</v>
      </c>
      <c r="B56" s="15">
        <f t="shared" ref="B56:D56" si="12">+SUM(B51:B55)</f>
        <v>153982</v>
      </c>
      <c r="C56" s="15">
        <f t="shared" si="12"/>
        <v>125481</v>
      </c>
      <c r="D56" s="15">
        <f t="shared" si="12"/>
        <v>105392</v>
      </c>
    </row>
    <row r="57" ht="14.25" customHeight="1">
      <c r="A57" s="12" t="s">
        <v>66</v>
      </c>
      <c r="B57" s="13"/>
      <c r="C57" s="13"/>
      <c r="D57" s="13"/>
    </row>
    <row r="58" ht="14.25" customHeight="1">
      <c r="A58" s="4" t="s">
        <v>62</v>
      </c>
      <c r="B58" s="13"/>
      <c r="C58" s="13"/>
      <c r="D58" s="13"/>
    </row>
    <row r="59" ht="14.25" customHeight="1">
      <c r="A59" s="4" t="s">
        <v>64</v>
      </c>
      <c r="B59" s="13">
        <v>98959.0</v>
      </c>
      <c r="C59" s="13">
        <v>109106.0</v>
      </c>
      <c r="D59" s="13">
        <v>98667.0</v>
      </c>
    </row>
    <row r="60" ht="14.25" customHeight="1">
      <c r="A60" s="4" t="s">
        <v>67</v>
      </c>
      <c r="B60" s="13">
        <v>49142.0</v>
      </c>
      <c r="C60" s="13">
        <v>53325.0</v>
      </c>
      <c r="D60" s="13">
        <v>54490.0</v>
      </c>
    </row>
    <row r="61" ht="14.25" customHeight="1">
      <c r="A61" s="20" t="s">
        <v>68</v>
      </c>
      <c r="B61" s="21">
        <f t="shared" ref="B61:D61" si="13">+B59+B60</f>
        <v>148101</v>
      </c>
      <c r="C61" s="21">
        <f t="shared" si="13"/>
        <v>162431</v>
      </c>
      <c r="D61" s="21">
        <f t="shared" si="13"/>
        <v>153157</v>
      </c>
    </row>
    <row r="62" ht="14.25" customHeight="1">
      <c r="A62" s="14" t="s">
        <v>69</v>
      </c>
      <c r="B62" s="15">
        <f t="shared" ref="B62:D62" si="14">+B56+B61</f>
        <v>302083</v>
      </c>
      <c r="C62" s="15">
        <f t="shared" si="14"/>
        <v>287912</v>
      </c>
      <c r="D62" s="15">
        <f t="shared" si="14"/>
        <v>258549</v>
      </c>
    </row>
    <row r="63" ht="14.25" customHeight="1">
      <c r="B63" s="13"/>
      <c r="C63" s="13"/>
      <c r="D63" s="13"/>
    </row>
    <row r="64" ht="14.25" customHeight="1">
      <c r="A64" s="12" t="s">
        <v>70</v>
      </c>
      <c r="B64" s="13"/>
      <c r="C64" s="13"/>
      <c r="D64" s="13"/>
    </row>
    <row r="65" ht="14.25" customHeight="1">
      <c r="A65" s="4" t="s">
        <v>71</v>
      </c>
      <c r="B65" s="13">
        <v>64849.0</v>
      </c>
      <c r="C65" s="13">
        <v>57365.0</v>
      </c>
      <c r="D65" s="13">
        <v>50779.0</v>
      </c>
    </row>
    <row r="66" ht="14.25" customHeight="1">
      <c r="A66" s="4" t="s">
        <v>72</v>
      </c>
      <c r="B66" s="13">
        <v>-3068.0</v>
      </c>
      <c r="C66" s="13">
        <v>5562.0</v>
      </c>
      <c r="D66" s="13">
        <v>14966.0</v>
      </c>
    </row>
    <row r="67" ht="14.25" customHeight="1">
      <c r="A67" s="4" t="s">
        <v>73</v>
      </c>
      <c r="B67" s="13">
        <v>-11109.0</v>
      </c>
      <c r="C67" s="13">
        <v>163.0</v>
      </c>
      <c r="D67" s="13">
        <v>-406.0</v>
      </c>
    </row>
    <row r="68" ht="14.25" customHeight="1">
      <c r="A68" s="14" t="s">
        <v>74</v>
      </c>
      <c r="B68" s="15">
        <f t="shared" ref="B68:D68" si="15">+SUM(B65:B67)</f>
        <v>50672</v>
      </c>
      <c r="C68" s="15">
        <f t="shared" si="15"/>
        <v>63090</v>
      </c>
      <c r="D68" s="15">
        <f t="shared" si="15"/>
        <v>65339</v>
      </c>
    </row>
    <row r="69" ht="14.25" customHeight="1">
      <c r="A69" s="16" t="s">
        <v>75</v>
      </c>
      <c r="B69" s="17">
        <f t="shared" ref="B69:D69" si="16">+B68+B62</f>
        <v>352755</v>
      </c>
      <c r="C69" s="17">
        <f t="shared" si="16"/>
        <v>351002</v>
      </c>
      <c r="D69" s="17">
        <f t="shared" si="16"/>
        <v>323888</v>
      </c>
    </row>
    <row r="70" ht="14.25" customHeight="1"/>
    <row r="71" ht="14.25" customHeight="1">
      <c r="A71" s="8" t="s">
        <v>76</v>
      </c>
      <c r="B71" s="9"/>
      <c r="C71" s="9"/>
      <c r="D71" s="10"/>
    </row>
    <row r="72" ht="14.25" customHeight="1">
      <c r="B72" s="11" t="s">
        <v>24</v>
      </c>
    </row>
    <row r="73" ht="14.25" customHeight="1">
      <c r="B73" s="2">
        <f t="shared" ref="B73:D73" si="17">+B33</f>
        <v>2022</v>
      </c>
      <c r="C73" s="2">
        <f t="shared" si="17"/>
        <v>2021</v>
      </c>
      <c r="D73" s="2">
        <f t="shared" si="17"/>
        <v>2020</v>
      </c>
    </row>
    <row r="74" ht="14.25" customHeight="1"/>
    <row r="75" ht="14.25" customHeight="1">
      <c r="A75" s="2" t="s">
        <v>77</v>
      </c>
      <c r="B75" s="22"/>
      <c r="C75" s="22"/>
      <c r="D75" s="22"/>
    </row>
    <row r="76" ht="14.25" customHeight="1">
      <c r="A76" s="12" t="s">
        <v>78</v>
      </c>
      <c r="B76" s="13">
        <f t="shared" ref="B76:D76" si="18">+B22</f>
        <v>99803</v>
      </c>
      <c r="C76" s="13">
        <f t="shared" si="18"/>
        <v>94680</v>
      </c>
      <c r="D76" s="13">
        <f t="shared" si="18"/>
        <v>57411</v>
      </c>
    </row>
    <row r="77" ht="14.25" customHeight="1">
      <c r="A77" s="5" t="s">
        <v>39</v>
      </c>
      <c r="B77" s="22"/>
      <c r="C77" s="22"/>
      <c r="D77" s="22"/>
    </row>
    <row r="78" ht="14.25" customHeight="1">
      <c r="A78" s="4" t="s">
        <v>79</v>
      </c>
      <c r="B78" s="13"/>
      <c r="C78" s="13"/>
      <c r="D78" s="13"/>
    </row>
    <row r="79" ht="14.25" customHeight="1">
      <c r="A79" s="4" t="s">
        <v>80</v>
      </c>
      <c r="B79" s="13">
        <v>11104.0</v>
      </c>
      <c r="C79" s="13">
        <v>11284.0</v>
      </c>
      <c r="D79" s="13">
        <v>11056.0</v>
      </c>
    </row>
    <row r="80" ht="14.25" customHeight="1">
      <c r="A80" s="4" t="s">
        <v>81</v>
      </c>
      <c r="B80" s="13">
        <v>9038.0</v>
      </c>
      <c r="C80" s="13">
        <v>7906.0</v>
      </c>
      <c r="D80" s="13">
        <v>6829.0</v>
      </c>
    </row>
    <row r="81" ht="14.25" customHeight="1">
      <c r="A81" s="4" t="s">
        <v>82</v>
      </c>
      <c r="B81" s="13">
        <v>895.0</v>
      </c>
      <c r="C81" s="13">
        <v>-4774.0</v>
      </c>
      <c r="D81" s="13">
        <v>-215.0</v>
      </c>
    </row>
    <row r="82" ht="14.25" customHeight="1">
      <c r="A82" s="4" t="s">
        <v>83</v>
      </c>
      <c r="B82" s="13">
        <v>111.0</v>
      </c>
      <c r="C82" s="13">
        <v>-147.0</v>
      </c>
      <c r="D82" s="13">
        <v>-97.0</v>
      </c>
    </row>
    <row r="83" ht="14.25" customHeight="1">
      <c r="A83" s="12" t="s">
        <v>84</v>
      </c>
      <c r="B83" s="13"/>
      <c r="C83" s="13"/>
      <c r="D83" s="13"/>
    </row>
    <row r="84" ht="14.25" customHeight="1">
      <c r="A84" s="4" t="s">
        <v>49</v>
      </c>
      <c r="B84" s="13">
        <v>-1823.0</v>
      </c>
      <c r="C84" s="13">
        <v>-10125.0</v>
      </c>
      <c r="D84" s="13">
        <v>6917.0</v>
      </c>
    </row>
    <row r="85" ht="14.25" customHeight="1">
      <c r="A85" s="4" t="s">
        <v>50</v>
      </c>
      <c r="B85" s="13">
        <v>1484.0</v>
      </c>
      <c r="C85" s="13">
        <v>-2642.0</v>
      </c>
      <c r="D85" s="13">
        <v>-127.0</v>
      </c>
    </row>
    <row r="86" ht="14.25" customHeight="1">
      <c r="A86" s="4" t="s">
        <v>51</v>
      </c>
      <c r="B86" s="13">
        <v>-7520.0</v>
      </c>
      <c r="C86" s="13">
        <v>-3903.0</v>
      </c>
      <c r="D86" s="13">
        <v>1553.0</v>
      </c>
    </row>
    <row r="87" ht="14.25" customHeight="1">
      <c r="A87" s="4" t="s">
        <v>85</v>
      </c>
      <c r="B87" s="13">
        <v>-6499.0</v>
      </c>
      <c r="C87" s="13">
        <v>-8042.0</v>
      </c>
      <c r="D87" s="13">
        <v>-9588.0</v>
      </c>
    </row>
    <row r="88" ht="14.25" customHeight="1">
      <c r="A88" s="4" t="s">
        <v>60</v>
      </c>
      <c r="B88" s="13">
        <v>9448.0</v>
      </c>
      <c r="C88" s="13">
        <v>12326.0</v>
      </c>
      <c r="D88" s="13">
        <v>-4062.0</v>
      </c>
    </row>
    <row r="89" ht="14.25" customHeight="1">
      <c r="A89" s="4" t="s">
        <v>62</v>
      </c>
      <c r="B89" s="13">
        <v>478.0</v>
      </c>
      <c r="C89" s="13">
        <v>1676.0</v>
      </c>
      <c r="D89" s="13">
        <v>2081.0</v>
      </c>
    </row>
    <row r="90" ht="14.25" customHeight="1">
      <c r="A90" s="4" t="s">
        <v>86</v>
      </c>
      <c r="B90" s="13">
        <v>5632.0</v>
      </c>
      <c r="C90" s="13">
        <v>5799.0</v>
      </c>
      <c r="D90" s="13">
        <v>8916.0</v>
      </c>
    </row>
    <row r="91" ht="14.25" customHeight="1">
      <c r="A91" s="14" t="s">
        <v>87</v>
      </c>
      <c r="B91" s="15">
        <f t="shared" ref="B91:D91" si="19">+SUM(B76:B90)</f>
        <v>122151</v>
      </c>
      <c r="C91" s="15">
        <f t="shared" si="19"/>
        <v>104038</v>
      </c>
      <c r="D91" s="15">
        <f t="shared" si="19"/>
        <v>80674</v>
      </c>
    </row>
    <row r="92" ht="14.25" customHeight="1">
      <c r="A92" s="2" t="s">
        <v>88</v>
      </c>
      <c r="B92" s="13"/>
      <c r="C92" s="13"/>
      <c r="D92" s="13"/>
    </row>
    <row r="93" ht="14.25" customHeight="1">
      <c r="A93" s="4" t="s">
        <v>89</v>
      </c>
      <c r="B93" s="13">
        <v>-76923.0</v>
      </c>
      <c r="C93" s="13">
        <v>-109558.0</v>
      </c>
      <c r="D93" s="13">
        <v>-114938.0</v>
      </c>
    </row>
    <row r="94" ht="14.25" customHeight="1">
      <c r="A94" s="4" t="s">
        <v>90</v>
      </c>
      <c r="B94" s="13">
        <v>29917.0</v>
      </c>
      <c r="C94" s="13">
        <v>59023.0</v>
      </c>
      <c r="D94" s="13">
        <v>69918.0</v>
      </c>
    </row>
    <row r="95" ht="14.25" customHeight="1">
      <c r="A95" s="4" t="s">
        <v>91</v>
      </c>
      <c r="B95" s="13">
        <v>37446.0</v>
      </c>
      <c r="C95" s="13">
        <v>47460.0</v>
      </c>
      <c r="D95" s="13">
        <v>50473.0</v>
      </c>
    </row>
    <row r="96" ht="14.25" customHeight="1">
      <c r="A96" s="4" t="s">
        <v>92</v>
      </c>
      <c r="B96" s="13">
        <v>-10708.0</v>
      </c>
      <c r="C96" s="13">
        <v>-11085.0</v>
      </c>
      <c r="D96" s="13">
        <v>-7309.0</v>
      </c>
    </row>
    <row r="97" ht="14.25" customHeight="1">
      <c r="A97" s="4" t="s">
        <v>93</v>
      </c>
      <c r="B97" s="13">
        <v>-306.0</v>
      </c>
      <c r="C97" s="13">
        <v>-33.0</v>
      </c>
      <c r="D97" s="13">
        <v>-1524.0</v>
      </c>
    </row>
    <row r="98" ht="14.25" customHeight="1">
      <c r="A98" s="4" t="s">
        <v>83</v>
      </c>
      <c r="B98" s="13">
        <v>-1780.0</v>
      </c>
      <c r="C98" s="13">
        <v>-352.0</v>
      </c>
      <c r="D98" s="13">
        <v>-909.0</v>
      </c>
    </row>
    <row r="99" ht="14.25" customHeight="1">
      <c r="A99" s="14" t="s">
        <v>94</v>
      </c>
      <c r="B99" s="15">
        <f t="shared" ref="B99:D99" si="20">+SUM(B93:B98)</f>
        <v>-22354</v>
      </c>
      <c r="C99" s="15">
        <f t="shared" si="20"/>
        <v>-14545</v>
      </c>
      <c r="D99" s="15">
        <f t="shared" si="20"/>
        <v>-4289</v>
      </c>
    </row>
    <row r="100" ht="14.25" customHeight="1">
      <c r="A100" s="2" t="s">
        <v>95</v>
      </c>
      <c r="B100" s="13"/>
      <c r="C100" s="13"/>
      <c r="D100" s="13"/>
    </row>
    <row r="101" ht="14.25" customHeight="1">
      <c r="A101" s="4" t="s">
        <v>96</v>
      </c>
      <c r="B101" s="13">
        <v>-6223.0</v>
      </c>
      <c r="C101" s="13">
        <v>-6556.0</v>
      </c>
      <c r="D101" s="13">
        <v>-3634.0</v>
      </c>
    </row>
    <row r="102" ht="14.25" customHeight="1">
      <c r="A102" s="4" t="s">
        <v>97</v>
      </c>
      <c r="B102" s="13">
        <v>-14841.0</v>
      </c>
      <c r="C102" s="13">
        <v>-14467.0</v>
      </c>
      <c r="D102" s="13">
        <v>-14081.0</v>
      </c>
    </row>
    <row r="103" ht="14.25" customHeight="1">
      <c r="A103" s="4" t="s">
        <v>98</v>
      </c>
      <c r="B103" s="13">
        <v>-89402.0</v>
      </c>
      <c r="C103" s="13">
        <v>-85971.0</v>
      </c>
      <c r="D103" s="13">
        <v>-72358.0</v>
      </c>
    </row>
    <row r="104" ht="14.25" customHeight="1">
      <c r="A104" s="4" t="s">
        <v>99</v>
      </c>
      <c r="B104" s="13">
        <v>5465.0</v>
      </c>
      <c r="C104" s="13">
        <v>20393.0</v>
      </c>
      <c r="D104" s="13">
        <v>16091.0</v>
      </c>
    </row>
    <row r="105" ht="14.25" customHeight="1">
      <c r="A105" s="4" t="s">
        <v>100</v>
      </c>
      <c r="B105" s="13">
        <v>-9543.0</v>
      </c>
      <c r="C105" s="13">
        <v>-8750.0</v>
      </c>
      <c r="D105" s="13">
        <v>-12629.0</v>
      </c>
    </row>
    <row r="106" ht="14.25" customHeight="1">
      <c r="A106" s="4" t="s">
        <v>101</v>
      </c>
      <c r="B106" s="13">
        <v>3955.0</v>
      </c>
      <c r="C106" s="13">
        <v>1022.0</v>
      </c>
      <c r="D106" s="13">
        <v>-963.0</v>
      </c>
    </row>
    <row r="107" ht="14.25" customHeight="1">
      <c r="A107" s="4" t="s">
        <v>83</v>
      </c>
      <c r="B107" s="13">
        <v>-160.0</v>
      </c>
      <c r="C107" s="13">
        <v>976.0</v>
      </c>
      <c r="D107" s="13">
        <v>754.0</v>
      </c>
    </row>
    <row r="108" ht="14.25" customHeight="1">
      <c r="A108" s="14" t="s">
        <v>102</v>
      </c>
      <c r="B108" s="15">
        <f t="shared" ref="B108:D108" si="21">+SUM(B101:B107)</f>
        <v>-110749</v>
      </c>
      <c r="C108" s="15">
        <f t="shared" si="21"/>
        <v>-93353</v>
      </c>
      <c r="D108" s="15">
        <f t="shared" si="21"/>
        <v>-86820</v>
      </c>
    </row>
    <row r="109" ht="14.25" customHeight="1">
      <c r="A109" s="14" t="s">
        <v>103</v>
      </c>
      <c r="B109" s="15">
        <f t="shared" ref="B109:D109" si="22">+B91+B99+B108</f>
        <v>-10952</v>
      </c>
      <c r="C109" s="15">
        <f t="shared" si="22"/>
        <v>-3860</v>
      </c>
      <c r="D109" s="15">
        <f t="shared" si="22"/>
        <v>-10435</v>
      </c>
    </row>
    <row r="110" ht="14.25" customHeight="1">
      <c r="A110" s="16" t="s">
        <v>104</v>
      </c>
      <c r="B110" s="17">
        <v>24977.0</v>
      </c>
      <c r="C110" s="17">
        <v>35929.0</v>
      </c>
      <c r="D110" s="17">
        <v>39789.0</v>
      </c>
    </row>
    <row r="111" ht="14.25" customHeight="1">
      <c r="B111" s="13"/>
      <c r="C111" s="13"/>
      <c r="D111" s="13"/>
    </row>
    <row r="112" ht="14.25" customHeight="1">
      <c r="A112" s="12" t="s">
        <v>105</v>
      </c>
      <c r="B112" s="13"/>
      <c r="C112" s="13"/>
      <c r="D112" s="13"/>
    </row>
    <row r="113" ht="14.25" customHeight="1">
      <c r="A113" s="12" t="s">
        <v>106</v>
      </c>
      <c r="B113" s="13">
        <v>19573.0</v>
      </c>
      <c r="C113" s="13">
        <v>25385.0</v>
      </c>
      <c r="D113" s="13">
        <v>9501.0</v>
      </c>
    </row>
    <row r="114" ht="14.25" customHeight="1">
      <c r="A114" s="12" t="s">
        <v>107</v>
      </c>
      <c r="B114" s="13">
        <v>2865.0</v>
      </c>
      <c r="C114" s="13">
        <v>2687.0</v>
      </c>
      <c r="D114" s="13">
        <v>3002.0</v>
      </c>
    </row>
    <row r="115" ht="14.25" customHeight="1"/>
    <row r="116" ht="14.25" customHeight="1">
      <c r="A116" s="23" t="s">
        <v>108</v>
      </c>
      <c r="B116" s="24">
        <f t="shared" ref="B116:D116" si="23">B42-B56</f>
        <v>-18577</v>
      </c>
      <c r="C116" s="24">
        <f t="shared" si="23"/>
        <v>9355</v>
      </c>
      <c r="D116" s="24">
        <f t="shared" si="23"/>
        <v>17021.194</v>
      </c>
    </row>
    <row r="117" ht="14.25" customHeight="1">
      <c r="A117" s="23"/>
    </row>
    <row r="118" ht="14.25" customHeight="1">
      <c r="B118" s="25"/>
      <c r="C118" s="25"/>
      <c r="D118" s="25"/>
    </row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2:D2"/>
    <mergeCell ref="B3:D3"/>
    <mergeCell ref="A31:D31"/>
    <mergeCell ref="B32:D32"/>
    <mergeCell ref="A71:D71"/>
    <mergeCell ref="B72:D7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4.71"/>
    <col customWidth="1" min="2" max="2" width="44.86"/>
    <col customWidth="1" min="3" max="3" width="13.29"/>
    <col customWidth="1" min="4" max="5" width="10.71"/>
    <col customWidth="1" min="6" max="26" width="8.71"/>
  </cols>
  <sheetData>
    <row r="1" ht="60.0" customHeight="1">
      <c r="A1" s="6"/>
      <c r="B1" s="26" t="s">
        <v>21</v>
      </c>
      <c r="C1" s="27"/>
      <c r="D1" s="27"/>
      <c r="E1" s="27"/>
      <c r="F1" s="27"/>
      <c r="G1" s="27"/>
      <c r="H1" s="27"/>
      <c r="I1" s="27"/>
      <c r="J1" s="27"/>
    </row>
    <row r="2" ht="14.25" customHeight="1">
      <c r="C2" s="11" t="s">
        <v>24</v>
      </c>
    </row>
    <row r="3" ht="14.25" customHeight="1">
      <c r="C3" s="2">
        <f>+'Financial Statements'!B4</f>
        <v>2022</v>
      </c>
      <c r="D3" s="2">
        <f>+'Financial Statements'!C4</f>
        <v>2021</v>
      </c>
      <c r="E3" s="2">
        <f>+'Financial Statements'!D4</f>
        <v>2020</v>
      </c>
    </row>
    <row r="4" ht="14.25" customHeight="1">
      <c r="A4" s="28">
        <v>1.0</v>
      </c>
      <c r="B4" s="2" t="s">
        <v>109</v>
      </c>
    </row>
    <row r="5" ht="14.25" customHeight="1">
      <c r="A5" s="29">
        <f t="shared" ref="A5:A13" si="1">+A4+0.1</f>
        <v>1.1</v>
      </c>
      <c r="B5" s="30" t="s">
        <v>110</v>
      </c>
      <c r="C5" s="31">
        <f>'Financial Statements'!B42/'Financial Statements'!B56</f>
        <v>0.8793560286</v>
      </c>
      <c r="D5" s="31">
        <f>'Financial Statements'!C42/'Financial Statements'!C56</f>
        <v>1.07455312</v>
      </c>
      <c r="E5" s="31">
        <f>'Financial Statements'!D42/'Financial Statements'!D56</f>
        <v>1.161503663</v>
      </c>
    </row>
    <row r="6" ht="14.25" customHeight="1">
      <c r="A6" s="29">
        <f t="shared" si="1"/>
        <v>1.2</v>
      </c>
      <c r="B6" s="30" t="s">
        <v>111</v>
      </c>
      <c r="C6" s="31">
        <f>sum('Financial Statements'!B36:B38)/'Financial Statements'!B56</f>
        <v>0.4967333844</v>
      </c>
      <c r="D6" s="31">
        <f>sum('Financial Statements'!C36:C38)/'Financial Statements'!C56</f>
        <v>0.7086092715</v>
      </c>
      <c r="E6" s="31">
        <f>sum('Financial Statements'!D36:D38)/'Financial Statements'!D56</f>
        <v>1.015855093</v>
      </c>
    </row>
    <row r="7" ht="14.25" customHeight="1">
      <c r="A7" s="29">
        <f t="shared" si="1"/>
        <v>1.3</v>
      </c>
      <c r="B7" s="30" t="s">
        <v>112</v>
      </c>
      <c r="C7" s="31">
        <f>'Financial Statements'!B36/'Financial Statements'!B56</f>
        <v>0.1535634035</v>
      </c>
      <c r="D7" s="31">
        <f>'Financial Statements'!C36/'Financial Statements'!C56</f>
        <v>0.2784485301</v>
      </c>
      <c r="E7" s="31">
        <f>'Financial Statements'!D36/'Financial Statements'!D56</f>
        <v>0.3607104904</v>
      </c>
    </row>
    <row r="8" ht="14.25" customHeight="1">
      <c r="A8" s="29">
        <f t="shared" si="1"/>
        <v>1.4</v>
      </c>
      <c r="B8" s="30" t="s">
        <v>113</v>
      </c>
      <c r="C8" s="31">
        <f>'Financial Statements'!B42/(('Financial Statements'!B17-'Financial Statements'!B79)/365)</f>
        <v>1228.170895</v>
      </c>
      <c r="D8" s="31">
        <f>'Financial Statements'!C42/(('Financial Statements'!C17-'Financial Statements'!C79)/365)</f>
        <v>1509.527958</v>
      </c>
      <c r="E8" s="31">
        <f>'Financial Statements'!D42/(('Financial Statements'!D17-'Financial Statements'!D79)/365)</f>
        <v>1618.166587</v>
      </c>
    </row>
    <row r="9" ht="14.25" customHeight="1">
      <c r="A9" s="29">
        <f t="shared" si="1"/>
        <v>1.5</v>
      </c>
      <c r="B9" s="30" t="s">
        <v>114</v>
      </c>
      <c r="C9" s="31">
        <f>365*(average('Financial Statements'!B39:C39))/'Financial Statements'!B12</f>
        <v>9.409674072</v>
      </c>
      <c r="D9" s="31">
        <f>365*(average('Financial Statements'!C39:D39))/'Financial Statements'!C12</f>
        <v>9.118102084</v>
      </c>
      <c r="E9" s="31">
        <f>365*('Financial Statements'!D39)/'Financial Statements'!D12</f>
        <v>8.741883356</v>
      </c>
    </row>
    <row r="10" ht="14.25" customHeight="1">
      <c r="A10" s="29">
        <f t="shared" si="1"/>
        <v>1.6</v>
      </c>
      <c r="B10" s="30" t="s">
        <v>115</v>
      </c>
      <c r="C10" s="31">
        <f>365*(AVERAGE('Financial Statements'!B51:C51)/'Financial Statements'!B12)</f>
        <v>97.0504281</v>
      </c>
      <c r="D10" s="31">
        <f>365*(AVERAGE('Financial Statements'!C51:D51)/'Financial Statements'!C12)</f>
        <v>83.16829905</v>
      </c>
      <c r="E10" s="31">
        <f>365*('Financial Statements'!D51/'Financial Statements'!D12)</f>
        <v>91.04818972</v>
      </c>
    </row>
    <row r="11" ht="14.25" customHeight="1">
      <c r="A11" s="29">
        <f t="shared" si="1"/>
        <v>1.7</v>
      </c>
      <c r="B11" s="30" t="s">
        <v>116</v>
      </c>
      <c r="C11" s="31">
        <f>365*(AVERAGE('Financial Statements'!B38:C38)/'Financial Statements'!B8)</f>
        <v>25.20570439</v>
      </c>
      <c r="D11" s="31">
        <f>365*(AVERAGE('Financial Statements'!C38:D38)/'Financial Statements'!C8)</f>
        <v>21.15165506</v>
      </c>
      <c r="E11" s="31">
        <f>365*('Financial Statements'!D38/'Financial Statements'!D8)</f>
        <v>21.43343715</v>
      </c>
    </row>
    <row r="12" ht="14.25" customHeight="1">
      <c r="A12" s="29">
        <f t="shared" si="1"/>
        <v>1.8</v>
      </c>
      <c r="B12" s="30" t="s">
        <v>117</v>
      </c>
      <c r="C12" s="31">
        <f t="shared" ref="C12:E12" si="2">C10-(C11+C9)</f>
        <v>62.43504964</v>
      </c>
      <c r="D12" s="31">
        <f t="shared" si="2"/>
        <v>52.8985419</v>
      </c>
      <c r="E12" s="31">
        <f t="shared" si="2"/>
        <v>60.87286921</v>
      </c>
    </row>
    <row r="13" ht="14.25" customHeight="1">
      <c r="A13" s="29">
        <f t="shared" si="1"/>
        <v>1.9</v>
      </c>
      <c r="B13" s="30" t="s">
        <v>118</v>
      </c>
      <c r="C13" s="32">
        <f>('Financial Statements'!B42-'Financial Statements'!B56)/'Financial Statements'!B8</f>
        <v>-0.04711052728</v>
      </c>
      <c r="D13" s="32">
        <f>('Financial Statements'!C42-'Financial Statements'!C56)/'Financial Statements'!C8</f>
        <v>0.02557289574</v>
      </c>
      <c r="E13" s="32">
        <f>('Financial Statements'!D42-'Financial Statements'!D56)/'Financial Statements'!D8</f>
        <v>0.0620046045</v>
      </c>
    </row>
    <row r="14" ht="14.25" customHeight="1">
      <c r="A14" s="29"/>
      <c r="B14" s="30" t="s">
        <v>119</v>
      </c>
      <c r="C14" s="33">
        <f>'Financial Statements'!B42-'Financial Statements'!B56</f>
        <v>-18577</v>
      </c>
      <c r="D14" s="33">
        <f>'Financial Statements'!C42-'Financial Statements'!C56</f>
        <v>9355</v>
      </c>
      <c r="E14" s="33">
        <f>'Financial Statements'!D42-'Financial Statements'!D56</f>
        <v>17021.194</v>
      </c>
    </row>
    <row r="15" ht="14.25" customHeight="1">
      <c r="A15" s="28"/>
      <c r="C15" s="34"/>
      <c r="D15" s="34"/>
      <c r="E15" s="34"/>
    </row>
    <row r="16" ht="14.25" customHeight="1">
      <c r="A16" s="28">
        <f>+A4+1</f>
        <v>2</v>
      </c>
      <c r="B16" s="5" t="s">
        <v>120</v>
      </c>
      <c r="C16" s="35"/>
      <c r="D16" s="35"/>
      <c r="E16" s="35"/>
    </row>
    <row r="17" ht="14.25" customHeight="1">
      <c r="A17" s="29">
        <f t="shared" ref="A17:A18" si="3">+A16+0.1</f>
        <v>2.1</v>
      </c>
      <c r="B17" s="30" t="s">
        <v>31</v>
      </c>
      <c r="C17" s="36">
        <f>'Financial Statements'!B13/'Financial Statements'!B8</f>
        <v>0.4330963056</v>
      </c>
      <c r="D17" s="36">
        <f>'Financial Statements'!C13/'Financial Statements'!C8</f>
        <v>0.4177935963</v>
      </c>
      <c r="E17" s="36">
        <f>'Financial Statements'!D13/'Financial Statements'!D8</f>
        <v>0.3823324773</v>
      </c>
    </row>
    <row r="18" ht="14.25" customHeight="1">
      <c r="A18" s="29">
        <f t="shared" si="3"/>
        <v>2.2</v>
      </c>
      <c r="B18" s="30" t="s">
        <v>121</v>
      </c>
      <c r="C18" s="36">
        <f>C19/'Financial Statements'!B8</f>
        <v>0.3310467428</v>
      </c>
      <c r="D18" s="36">
        <f>D19/'Financial Statements'!C8</f>
        <v>0.3286697994</v>
      </c>
      <c r="E18" s="36">
        <f>E19/'Financial Statements'!D8</f>
        <v>0.2817478098</v>
      </c>
    </row>
    <row r="19" ht="14.25" customHeight="1">
      <c r="A19" s="29"/>
      <c r="B19" s="30" t="s">
        <v>122</v>
      </c>
      <c r="C19" s="37">
        <f>'Financial Statements'!B18+'Financial Statements'!B79</f>
        <v>130541</v>
      </c>
      <c r="D19" s="37">
        <f>'Financial Statements'!C18+'Financial Statements'!C79</f>
        <v>120233</v>
      </c>
      <c r="E19" s="37">
        <f>'Financial Statements'!D18+'Financial Statements'!D79</f>
        <v>77344</v>
      </c>
    </row>
    <row r="20" ht="14.25" customHeight="1">
      <c r="A20" s="29">
        <f>+A18+0.1</f>
        <v>2.3</v>
      </c>
      <c r="B20" s="30" t="s">
        <v>123</v>
      </c>
      <c r="C20" s="36">
        <f>C21/'Financial Statements'!B8</f>
        <v>0.302887444</v>
      </c>
      <c r="D20" s="36">
        <f>D21/'Financial Statements'!C8</f>
        <v>0.2978237753</v>
      </c>
      <c r="E20" s="36">
        <f>E21/'Financial Statements'!D8</f>
        <v>0.2414731435</v>
      </c>
    </row>
    <row r="21" ht="14.25" customHeight="1">
      <c r="A21" s="29"/>
      <c r="B21" s="30" t="s">
        <v>124</v>
      </c>
      <c r="C21" s="37">
        <f>'Financial Statements'!B18</f>
        <v>119437</v>
      </c>
      <c r="D21" s="37">
        <f>'Financial Statements'!C18</f>
        <v>108949</v>
      </c>
      <c r="E21" s="37">
        <f>'Financial Statements'!D18</f>
        <v>66288</v>
      </c>
    </row>
    <row r="22" ht="14.25" customHeight="1">
      <c r="A22" s="29">
        <f>+A20+0.1</f>
        <v>2.4</v>
      </c>
      <c r="B22" s="30" t="s">
        <v>125</v>
      </c>
      <c r="C22" s="36">
        <f>'Financial Statements'!B22/'Financial Statements'!B8</f>
        <v>0.2530964071</v>
      </c>
      <c r="D22" s="36">
        <f>'Financial Statements'!C22/'Financial Statements'!C8</f>
        <v>0.2588179336</v>
      </c>
      <c r="E22" s="36">
        <f>'Financial Statements'!D22/'Financial Statements'!D8</f>
        <v>0.2091361128</v>
      </c>
    </row>
    <row r="23" ht="14.25" customHeight="1">
      <c r="A23" s="28"/>
      <c r="C23" s="35"/>
      <c r="D23" s="35"/>
      <c r="E23" s="35"/>
    </row>
    <row r="24" ht="14.25" customHeight="1">
      <c r="A24" s="28">
        <f>+A16+1</f>
        <v>3</v>
      </c>
      <c r="B24" s="2" t="s">
        <v>126</v>
      </c>
      <c r="C24" s="35"/>
      <c r="D24" s="35"/>
      <c r="E24" s="35"/>
    </row>
    <row r="25" ht="14.25" customHeight="1">
      <c r="A25" s="29">
        <f t="shared" ref="A25:A30" si="4">+A24+0.1</f>
        <v>3.1</v>
      </c>
      <c r="B25" s="30" t="s">
        <v>127</v>
      </c>
      <c r="C25" s="38">
        <f>'Financial Statements'!B62/'Financial Statements'!B68</f>
        <v>5.961536943</v>
      </c>
      <c r="D25" s="38">
        <f>'Financial Statements'!C62/'Financial Statements'!C68</f>
        <v>4.563512443</v>
      </c>
      <c r="E25" s="38">
        <f>'Financial Statements'!D62/'Financial Statements'!D68</f>
        <v>3.95703944</v>
      </c>
    </row>
    <row r="26" ht="14.25" customHeight="1">
      <c r="A26" s="29">
        <f t="shared" si="4"/>
        <v>3.2</v>
      </c>
      <c r="B26" s="30" t="s">
        <v>128</v>
      </c>
      <c r="C26" s="38">
        <f>'Financial Statements'!B62/'Financial Statements'!B48</f>
        <v>0.8563535598</v>
      </c>
      <c r="D26" s="38">
        <f>'Financial Statements'!C62/'Financial Statements'!C48</f>
        <v>0.8202574344</v>
      </c>
      <c r="E26" s="38">
        <f>'Financial Statements'!D62/'Financial Statements'!D48</f>
        <v>0.8544583203</v>
      </c>
    </row>
    <row r="27" ht="14.25" customHeight="1">
      <c r="A27" s="29">
        <f t="shared" si="4"/>
        <v>3.3</v>
      </c>
      <c r="B27" s="30" t="s">
        <v>129</v>
      </c>
      <c r="C27" s="38">
        <f>'Financial Statements'!B61/'Financial Statements'!B48</f>
        <v>0.4198409661</v>
      </c>
      <c r="D27" s="38">
        <f>'Financial Statements'!C61/'Financial Statements'!C48</f>
        <v>0.4627637449</v>
      </c>
      <c r="E27" s="38">
        <f>'Financial Statements'!D61/'Financial Statements'!D48</f>
        <v>0.5061565621</v>
      </c>
    </row>
    <row r="28" ht="14.25" customHeight="1">
      <c r="A28" s="29">
        <f t="shared" si="4"/>
        <v>3.4</v>
      </c>
      <c r="B28" s="30" t="s">
        <v>130</v>
      </c>
      <c r="C28" s="38">
        <f>'Financial Statements'!B18/'Financial Statements'!B114</f>
        <v>41.68830716</v>
      </c>
      <c r="D28" s="38">
        <f>'Financial Statements'!C18/'Financial Statements'!C114</f>
        <v>40.54670636</v>
      </c>
      <c r="E28" s="38">
        <f>'Financial Statements'!D18/'Financial Statements'!D114</f>
        <v>22.08127915</v>
      </c>
    </row>
    <row r="29" ht="14.25" customHeight="1">
      <c r="A29" s="29">
        <f t="shared" si="4"/>
        <v>3.5</v>
      </c>
      <c r="B29" s="30" t="s">
        <v>131</v>
      </c>
      <c r="C29" s="38">
        <f>'Financial Statements'!B18/'Financial Statements'!B114</f>
        <v>41.68830716</v>
      </c>
      <c r="D29" s="38">
        <f>'Financial Statements'!C18/'Financial Statements'!C114</f>
        <v>40.54670636</v>
      </c>
      <c r="E29" s="38">
        <f>'Financial Statements'!D18/'Financial Statements'!D114</f>
        <v>22.08127915</v>
      </c>
    </row>
    <row r="30" ht="14.25" customHeight="1">
      <c r="A30" s="29">
        <f t="shared" si="4"/>
        <v>3.6</v>
      </c>
      <c r="B30" s="30" t="s">
        <v>132</v>
      </c>
      <c r="C30" s="31">
        <f>C31/'Financial Statements'!B27</f>
        <v>0.005415836235</v>
      </c>
      <c r="D30" s="31">
        <f>D31/'Financial Statements'!C27</f>
        <v>0.006773424563</v>
      </c>
      <c r="E30" s="31">
        <f>E31/'Financial Statements'!D27</f>
        <v>0.005216549864</v>
      </c>
    </row>
    <row r="31" ht="14.25" customHeight="1">
      <c r="A31" s="29"/>
      <c r="B31" s="30" t="s">
        <v>133</v>
      </c>
      <c r="C31" s="37">
        <f>'Financial Statements'!B18+'Financial Statements'!B79+'Financial Statements'!B116-'Financial Statements'!C116+'Financial Statements'!B96+'Financial Statements'!B104+'Financial Statements'!B105</f>
        <v>87823</v>
      </c>
      <c r="D31" s="37">
        <f>'Financial Statements'!C18+'Financial Statements'!C79+'Financial Statements'!C116-'Financial Statements'!D116+'Financial Statements'!C96+'Financial Statements'!C104+'Financial Statements'!C105</f>
        <v>113124.806</v>
      </c>
      <c r="E31" s="37">
        <f>'Financial Statements'!D18+'Financial Statements'!D79+'Financial Statements'!D116-'Financial Statements'!E116+'Financial Statements'!D96+'Financial Statements'!D104+'Financial Statements'!D105</f>
        <v>90518.194</v>
      </c>
    </row>
    <row r="32" ht="14.25" customHeight="1">
      <c r="A32" s="28"/>
      <c r="C32" s="35"/>
      <c r="D32" s="35"/>
      <c r="E32" s="35"/>
    </row>
    <row r="33" ht="14.25" customHeight="1">
      <c r="A33" s="28">
        <f>+A24+1</f>
        <v>4</v>
      </c>
      <c r="B33" s="5" t="s">
        <v>134</v>
      </c>
      <c r="C33" s="35"/>
      <c r="D33" s="35"/>
      <c r="E33" s="35"/>
    </row>
    <row r="34" ht="14.25" customHeight="1">
      <c r="A34" s="29">
        <f t="shared" ref="A34:A37" si="5">+A33+0.1</f>
        <v>4.1</v>
      </c>
      <c r="B34" s="30" t="s">
        <v>135</v>
      </c>
      <c r="C34" s="38">
        <f>'Financial Statements'!B8/AVERAGE('Financial Statements'!B48:C48)</f>
        <v>1.120636811</v>
      </c>
      <c r="D34" s="38">
        <f>'Financial Statements'!C8/AVERAGE('Financial Statements'!C48:D48)</f>
        <v>1.119407859</v>
      </c>
      <c r="E34" s="38">
        <f>'Financial Statements'!D8/'Financial Statements'!D48</f>
        <v>0.907223102</v>
      </c>
    </row>
    <row r="35" ht="14.25" customHeight="1">
      <c r="A35" s="29">
        <f t="shared" si="5"/>
        <v>4.2</v>
      </c>
      <c r="B35" s="30" t="s">
        <v>136</v>
      </c>
      <c r="C35" s="38">
        <f>'Financial Statements'!B8/AVERAGE('Financial Statements'!B47:C47)</f>
        <v>1.819208518</v>
      </c>
      <c r="D35" s="38">
        <f>'Financial Statements'!C8/AVERAGE('Financial Statements'!C47:D47)</f>
        <v>1.84597102</v>
      </c>
      <c r="E35" s="38">
        <f>'Financial Statements'!D8/'Financial Statements'!D47</f>
        <v>1.523602054</v>
      </c>
    </row>
    <row r="36" ht="14.25" customHeight="1">
      <c r="A36" s="29">
        <f t="shared" si="5"/>
        <v>4.3</v>
      </c>
      <c r="B36" s="30" t="s">
        <v>137</v>
      </c>
      <c r="C36" s="38">
        <f>'Financial Statements'!B12/AVERAGE('Financial Statements'!B39:C39)</f>
        <v>38.78986639</v>
      </c>
      <c r="D36" s="38">
        <f>'Financial Statements'!C12/AVERAGE('Financial Statements'!C39:D39)</f>
        <v>40.03026031</v>
      </c>
      <c r="E36" s="38">
        <f>'Financial Statements'!D12/'Financial Statements'!D39</f>
        <v>41.7530165</v>
      </c>
    </row>
    <row r="37" ht="14.25" customHeight="1">
      <c r="A37" s="29">
        <f t="shared" si="5"/>
        <v>4.4</v>
      </c>
      <c r="B37" s="30" t="s">
        <v>138</v>
      </c>
      <c r="C37" s="38">
        <f>'Financial Statements'!B22/'Financial Statements'!B48</f>
        <v>0.2829244093</v>
      </c>
      <c r="D37" s="38">
        <f>'Financial Statements'!C22/'Financial Statements'!C48</f>
        <v>0.2697420528</v>
      </c>
      <c r="E37" s="38">
        <f>'Financial Statements'!D22/'Financial Statements'!D48</f>
        <v>0.189733113</v>
      </c>
    </row>
    <row r="38" ht="14.25" customHeight="1">
      <c r="A38" s="28"/>
      <c r="C38" s="35"/>
      <c r="D38" s="35"/>
      <c r="E38" s="35"/>
    </row>
    <row r="39" ht="14.25" customHeight="1">
      <c r="A39" s="28">
        <f>+A33+1</f>
        <v>5</v>
      </c>
      <c r="B39" s="5" t="s">
        <v>139</v>
      </c>
      <c r="C39" s="35"/>
      <c r="D39" s="35"/>
      <c r="E39" s="35"/>
    </row>
    <row r="40" ht="14.25" customHeight="1">
      <c r="A40" s="29">
        <f t="shared" ref="A40:A42" si="6">+A39+0.1</f>
        <v>5.1</v>
      </c>
      <c r="B40" s="30" t="s">
        <v>140</v>
      </c>
      <c r="C40" s="38">
        <f>146.61/'Financial Statements'!B24</f>
        <v>23.83902439</v>
      </c>
      <c r="D40" s="39">
        <f>142.81/'Financial Statements'!C24</f>
        <v>25.18694885</v>
      </c>
      <c r="E40" s="38">
        <f>114.93/'Financial Statements'!D24</f>
        <v>34.72205438</v>
      </c>
    </row>
    <row r="41" ht="14.25" customHeight="1">
      <c r="A41" s="29">
        <f t="shared" si="6"/>
        <v>5.2</v>
      </c>
      <c r="B41" s="40" t="s">
        <v>141</v>
      </c>
      <c r="C41" s="41">
        <f>'Financial Statements'!B22/4754986</f>
        <v>0.02098912594</v>
      </c>
      <c r="D41" s="41">
        <f>'Financial Statements'!C22/4754986</f>
        <v>0.01991173055</v>
      </c>
      <c r="E41" s="41">
        <f>'Financial Statements'!D22/4754986</f>
        <v>0.01207385258</v>
      </c>
    </row>
    <row r="42">
      <c r="A42" s="29">
        <f t="shared" si="6"/>
        <v>5.3</v>
      </c>
      <c r="B42" s="30" t="s">
        <v>142</v>
      </c>
      <c r="C42" s="37">
        <f t="shared" ref="C42:E42" si="7">C43/C44</f>
        <v>13.75766691</v>
      </c>
      <c r="D42" s="37">
        <f t="shared" si="7"/>
        <v>10.76636155</v>
      </c>
      <c r="E42" s="37">
        <f t="shared" si="7"/>
        <v>8.363925695</v>
      </c>
    </row>
    <row r="43">
      <c r="A43" s="29"/>
      <c r="B43" s="40" t="s">
        <v>143</v>
      </c>
      <c r="C43" s="42">
        <v>146.61</v>
      </c>
      <c r="D43" s="42">
        <v>142.85</v>
      </c>
      <c r="E43" s="42">
        <v>114.93</v>
      </c>
    </row>
    <row r="44" ht="14.25" customHeight="1">
      <c r="A44" s="29">
        <f>+A42+0.1</f>
        <v>5.4</v>
      </c>
      <c r="B44" s="30" t="s">
        <v>144</v>
      </c>
      <c r="C44" s="38">
        <f>1000*('Financial Statements'!B68/4754986)</f>
        <v>10.65660341</v>
      </c>
      <c r="D44" s="38">
        <f>1000*('Financial Statements'!C68/4754986)</f>
        <v>13.26817787</v>
      </c>
      <c r="E44" s="38">
        <f>1000*('Financial Statements'!D68/4754986)</f>
        <v>13.74115507</v>
      </c>
    </row>
    <row r="45" ht="14.25" customHeight="1">
      <c r="A45" s="29">
        <f>+A44+0.1</f>
        <v>5.5</v>
      </c>
      <c r="B45" s="30" t="s">
        <v>145</v>
      </c>
      <c r="C45" s="38">
        <f>-('Financial Statements'!B102/'Financial Statements'!B22)</f>
        <v>0.1487029448</v>
      </c>
      <c r="D45" s="38">
        <f>-('Financial Statements'!C102/'Financial Statements'!C22)</f>
        <v>0.1527989016</v>
      </c>
      <c r="E45" s="38">
        <f>-('Financial Statements'!D102/'Financial Statements'!D22)</f>
        <v>0.2452665865</v>
      </c>
    </row>
    <row r="46" ht="14.25" customHeight="1">
      <c r="A46" s="29"/>
      <c r="B46" s="30" t="s">
        <v>146</v>
      </c>
      <c r="C46" s="38">
        <f>-('Financial Statements'!B102/4754986)</f>
        <v>0.003121144836</v>
      </c>
      <c r="D46" s="38">
        <f>-('Financial Statements'!C102/4754986)</f>
        <v>0.003042490556</v>
      </c>
      <c r="E46" s="38">
        <f>-('Financial Statements'!D102/4754986)</f>
        <v>0.00296131261</v>
      </c>
    </row>
    <row r="47" ht="14.25" customHeight="1">
      <c r="A47" s="29">
        <f t="shared" ref="A47:A51" si="9">+A45+0.1</f>
        <v>5.6</v>
      </c>
      <c r="B47" s="30" t="s">
        <v>147</v>
      </c>
      <c r="C47" s="32">
        <f t="shared" ref="C47:E47" si="8">(1000*(C46))/C43</f>
        <v>0.02128875818</v>
      </c>
      <c r="D47" s="32">
        <f t="shared" si="8"/>
        <v>0.02129849882</v>
      </c>
      <c r="E47" s="32">
        <f t="shared" si="8"/>
        <v>0.02576622822</v>
      </c>
    </row>
    <row r="48" ht="14.25" customHeight="1">
      <c r="A48" s="29">
        <f t="shared" si="9"/>
        <v>0.1</v>
      </c>
      <c r="B48" s="30" t="s">
        <v>148</v>
      </c>
      <c r="C48" s="38">
        <f>'Financial Statements'!B22/'Financial Statements'!B68</f>
        <v>1.969588728</v>
      </c>
      <c r="D48" s="38">
        <f>'Financial Statements'!C22/'Financial Statements'!C68</f>
        <v>1.500713267</v>
      </c>
      <c r="E48" s="38">
        <f>'Financial Statements'!D22/'Financial Statements'!D68</f>
        <v>0.8786635853</v>
      </c>
    </row>
    <row r="49" ht="14.25" customHeight="1">
      <c r="A49" s="29">
        <f t="shared" si="9"/>
        <v>5.7</v>
      </c>
      <c r="B49" s="30" t="s">
        <v>149</v>
      </c>
      <c r="C49" s="38">
        <f>'Financial Statements'!B18/('Financial Statements'!B69-'Financial Statements'!B56)</f>
        <v>0.6008713457</v>
      </c>
      <c r="D49" s="38">
        <f>'Financial Statements'!C18/('Financial Statements'!C69-'Financial Statements'!C56)</f>
        <v>0.4830991349</v>
      </c>
      <c r="E49" s="38">
        <f>'Financial Statements'!D18/('Financial Statements'!D69-'Financial Statements'!D56)</f>
        <v>0.3033831283</v>
      </c>
    </row>
    <row r="50" ht="14.25" customHeight="1">
      <c r="A50" s="29">
        <f t="shared" si="9"/>
        <v>0.2</v>
      </c>
      <c r="B50" s="30" t="s">
        <v>138</v>
      </c>
      <c r="C50" s="38">
        <f>'Financial Statements'!B18/'Financial Statements'!B48</f>
        <v>0.3385834361</v>
      </c>
      <c r="D50" s="38">
        <f>'Financial Statements'!C18/'Financial Statements'!C48</f>
        <v>0.3103942428</v>
      </c>
      <c r="E50" s="38">
        <f>'Financial Statements'!D18/'Financial Statements'!D48</f>
        <v>0.2190700143</v>
      </c>
    </row>
    <row r="51" ht="14.25" customHeight="1">
      <c r="A51" s="29">
        <f t="shared" si="9"/>
        <v>5.8</v>
      </c>
      <c r="B51" s="30" t="s">
        <v>150</v>
      </c>
      <c r="C51" s="38">
        <f t="shared" ref="C51:E51" si="10">C52/C19</f>
        <v>6.078910834</v>
      </c>
      <c r="D51" s="38">
        <f t="shared" si="10"/>
        <v>6.396118076</v>
      </c>
      <c r="E51" s="38">
        <f t="shared" si="10"/>
        <v>8.02786374</v>
      </c>
    </row>
    <row r="52" ht="14.25" customHeight="1">
      <c r="A52" s="29"/>
      <c r="B52" s="30" t="s">
        <v>151</v>
      </c>
      <c r="C52" s="37">
        <f>C53+'Financial Statements'!B59+'Financial Statements'!B55+'Financial Statements'!B54-'Financial Statements'!B36</f>
        <v>793547.0992</v>
      </c>
      <c r="D52" s="37">
        <f>D53+'Financial Statements'!C59+'Financial Statements'!C55+'Financial Statements'!C54-'Financial Statements'!C36</f>
        <v>769024.4646</v>
      </c>
      <c r="E52" s="37">
        <f>E53+'Financial Statements'!D59+'Financial Statements'!D55+'Financial Statements'!D54-'Financial Statements'!D36</f>
        <v>620907.0931</v>
      </c>
    </row>
    <row r="53" ht="14.25" customHeight="1">
      <c r="A53" s="43"/>
      <c r="B53" s="44" t="s">
        <v>152</v>
      </c>
      <c r="C53" s="37">
        <f t="shared" ref="C53:E53" si="11">(C43*4754956)/1000</f>
        <v>697124.0992</v>
      </c>
      <c r="D53" s="37">
        <f t="shared" si="11"/>
        <v>679245.4646</v>
      </c>
      <c r="E53" s="37">
        <f t="shared" si="11"/>
        <v>546487.0931</v>
      </c>
    </row>
    <row r="54" ht="14.25" customHeight="1"/>
    <row r="55" ht="14.25" customHeight="1">
      <c r="A55" s="45">
        <v>6.0</v>
      </c>
      <c r="B55" s="44" t="s">
        <v>153</v>
      </c>
      <c r="C55" s="43"/>
      <c r="D55" s="43"/>
      <c r="E55" s="43"/>
    </row>
    <row r="56" ht="14.25" customHeight="1">
      <c r="B56" s="43" t="s">
        <v>25</v>
      </c>
      <c r="C56" s="43"/>
      <c r="D56" s="43"/>
      <c r="E56" s="43"/>
    </row>
    <row r="57" ht="14.25" customHeight="1">
      <c r="B57" s="30" t="s">
        <v>26</v>
      </c>
      <c r="C57" s="37">
        <f>('Financial Statements'!B6-'Financial Statements'!C6)/'Financial Statements'!C6</f>
        <v>0.06323976435</v>
      </c>
      <c r="D57" s="37">
        <f>('Financial Statements'!C6-'Financial Statements'!D6)/'Financial Statements'!D6</f>
        <v>0.3472074366</v>
      </c>
      <c r="E57" s="37" t="str">
        <f>('Financial Statements'!D6-'Financial Statements'!E6)/'Financial Statements'!E6</f>
        <v>#DIV/0!</v>
      </c>
    </row>
    <row r="58" ht="14.25" customHeight="1">
      <c r="B58" s="30" t="s">
        <v>27</v>
      </c>
      <c r="C58" s="37">
        <f>('Financial Statements'!B7-'Financial Statements'!C7)/'Financial Statements'!C7</f>
        <v>0.1418195104</v>
      </c>
      <c r="D58" s="37">
        <f>('Financial Statements'!C7-'Financial Statements'!D7)/'Financial Statements'!D7</f>
        <v>0.2725970838</v>
      </c>
      <c r="E58" s="37"/>
    </row>
    <row r="59" ht="14.25" customHeight="1">
      <c r="B59" s="46" t="s">
        <v>28</v>
      </c>
      <c r="C59" s="37">
        <f>('Financial Statements'!B8-'Financial Statements'!C8)/'Financial Statements'!C8</f>
        <v>0.07793787604</v>
      </c>
      <c r="D59" s="37">
        <f>('Financial Statements'!C8-'Financial Statements'!D8)/'Financial Statements'!D8</f>
        <v>0.3325938473</v>
      </c>
      <c r="E59" s="37"/>
    </row>
    <row r="60" ht="14.25" customHeight="1">
      <c r="B60" s="46" t="s">
        <v>31</v>
      </c>
      <c r="C60" s="37">
        <f>('Financial Statements'!B13-'Financial Statements'!C13)/'Financial Statements'!C13</f>
        <v>0.1174199796</v>
      </c>
      <c r="D60" s="37">
        <f>('Financial Statements'!C13-'Financial Statements'!D13)/'Financial Statements'!D13</f>
        <v>0.4561911658</v>
      </c>
      <c r="E60" s="37"/>
    </row>
    <row r="61" ht="14.25" customHeight="1">
      <c r="B61" s="43" t="s">
        <v>32</v>
      </c>
      <c r="C61" s="37"/>
      <c r="D61" s="37"/>
      <c r="E61" s="37"/>
    </row>
    <row r="62" ht="14.25" customHeight="1">
      <c r="B62" s="30" t="s">
        <v>33</v>
      </c>
      <c r="C62" s="37">
        <f>('Financial Statements'!B15-'Financial Statements'!C15)/'Financial Statements'!C15</f>
        <v>0.1979100119</v>
      </c>
      <c r="D62" s="37">
        <f>('Financial Statements'!C15-'Financial Statements'!D15)/'Financial Statements'!D15</f>
        <v>0.1686220137</v>
      </c>
      <c r="E62" s="37"/>
    </row>
    <row r="63" ht="14.25" customHeight="1">
      <c r="B63" s="30" t="s">
        <v>34</v>
      </c>
      <c r="C63" s="37">
        <f>('Financial Statements'!B16-'Financial Statements'!C16)/'Financial Statements'!C16</f>
        <v>0.1420379557</v>
      </c>
      <c r="D63" s="37">
        <f>('Financial Statements'!C16-'Financial Statements'!D16)/'Financial Statements'!D16</f>
        <v>0.1032837919</v>
      </c>
      <c r="E63" s="37"/>
    </row>
    <row r="64" ht="14.25" customHeight="1">
      <c r="B64" s="43"/>
      <c r="C64" s="37"/>
      <c r="D64" s="37"/>
      <c r="E64" s="37"/>
    </row>
    <row r="65" ht="14.25" customHeight="1">
      <c r="B65" s="46" t="s">
        <v>53</v>
      </c>
      <c r="C65" s="47">
        <f>('Financial Statements'!B42-'Financial Statements'!C42)/'Financial Statements'!C42</f>
        <v>0.004219941262</v>
      </c>
      <c r="D65" s="47">
        <f>('Financial Statements'!C42-'Financial Statements'!D42)/'Financial Statements'!D42</f>
        <v>0.1014825738</v>
      </c>
      <c r="E65" s="48"/>
    </row>
    <row r="66" ht="14.25" customHeight="1">
      <c r="B66" s="46" t="s">
        <v>57</v>
      </c>
      <c r="C66" s="49">
        <f>('Financial Statements'!B47-'Financial Statements'!C47)/'Financial Statements'!C47</f>
        <v>0.005477272096</v>
      </c>
      <c r="D66" s="49">
        <f>('Financial Statements'!C47-'Financial Statements'!D47)/'Financial Statements'!D47</f>
        <v>0.199755793</v>
      </c>
      <c r="E66" s="49" t="str">
        <f>('Financial Statements'!D47-'Financial Statements'!E47)/'Financial Statements'!E47</f>
        <v>#DIV/0!</v>
      </c>
    </row>
    <row r="67" ht="14.25" customHeight="1">
      <c r="B67" s="46" t="s">
        <v>58</v>
      </c>
      <c r="C67" s="47">
        <f>('Financial Statements'!B48-'Financial Statements'!C48)/'Financial Statements'!C48</f>
        <v>0.004994273537</v>
      </c>
      <c r="D67" s="47">
        <f>('Financial Statements'!C48-'Financial Statements'!D48)/'Financial Statements'!D48</f>
        <v>0.1599989919</v>
      </c>
      <c r="E67" s="48"/>
    </row>
    <row r="68" ht="14.25" customHeight="1">
      <c r="B68" s="46" t="s">
        <v>65</v>
      </c>
      <c r="C68" s="49">
        <f>('Financial Statements'!B56-'Financial Statements'!C56)/'Financial Statements'!C56</f>
        <v>0.2271339884</v>
      </c>
      <c r="D68" s="49">
        <f>('Financial Statements'!C56-'Financial Statements'!D56)/'Financial Statements'!D56</f>
        <v>0.1906121907</v>
      </c>
      <c r="E68" s="48"/>
    </row>
    <row r="69" ht="14.25" customHeight="1">
      <c r="B69" s="30" t="s">
        <v>68</v>
      </c>
      <c r="C69" s="49">
        <f>('Financial Statements'!B61-'Financial Statements'!C61)/'Financial Statements'!C61</f>
        <v>-0.08822207584</v>
      </c>
      <c r="D69" s="49">
        <f>('Financial Statements'!C61-'Financial Statements'!D61)/'Financial Statements'!D61</f>
        <v>0.06055224378</v>
      </c>
      <c r="E69" s="49"/>
    </row>
    <row r="70" ht="14.25" customHeight="1">
      <c r="B70" s="46" t="s">
        <v>69</v>
      </c>
      <c r="C70" s="49">
        <f>('Financial Statements'!B62-'Financial Statements'!C62)/'Financial Statements'!C62</f>
        <v>0.04921990053</v>
      </c>
      <c r="D70" s="49">
        <f>('Financial Statements'!C62-'Financial Statements'!D62)/'Financial Statements'!D62</f>
        <v>0.1135684145</v>
      </c>
      <c r="E70" s="48"/>
    </row>
    <row r="71" ht="14.25" customHeight="1">
      <c r="B71" s="46" t="s">
        <v>74</v>
      </c>
      <c r="C71" s="49">
        <f>('Financial Statements'!B68-'Financial Statements'!C68)/'Financial Statements'!C68</f>
        <v>-0.1968299255</v>
      </c>
      <c r="D71" s="49">
        <f>('Financial Statements'!C68-'Financial Statements'!D68)/'Financial Statements'!D68</f>
        <v>-0.03442048394</v>
      </c>
      <c r="E71" s="48"/>
    </row>
    <row r="72" ht="14.25" customHeight="1">
      <c r="B72" s="46" t="s">
        <v>75</v>
      </c>
      <c r="C72" s="47">
        <f>('Financial Statements'!B69-'Financial Statements'!C69)/'Financial Statements'!C69</f>
        <v>0.004994273537</v>
      </c>
      <c r="D72" s="47">
        <f>('Financial Statements'!C69-'Financial Statements'!D69)/'Financial Statements'!D69</f>
        <v>0.0837141234</v>
      </c>
      <c r="E72" s="48"/>
    </row>
    <row r="73" ht="14.25" customHeight="1">
      <c r="C73" s="50"/>
      <c r="D73" s="50"/>
      <c r="E73" s="50"/>
    </row>
    <row r="74" ht="14.25" customHeight="1">
      <c r="A74" s="45">
        <v>7.0</v>
      </c>
      <c r="B74" s="40" t="s">
        <v>154</v>
      </c>
      <c r="C74" s="37"/>
      <c r="D74" s="37"/>
      <c r="E74" s="37"/>
    </row>
    <row r="75" ht="14.25" customHeight="1">
      <c r="B75" s="46" t="s">
        <v>30</v>
      </c>
      <c r="C75" s="32">
        <f>'Financial Statements'!B12/'Financial Statements'!B8</f>
        <v>0.5669036944</v>
      </c>
      <c r="D75" s="32">
        <f>'Financial Statements'!C12/'Financial Statements'!C8</f>
        <v>0.5822064037</v>
      </c>
      <c r="E75" s="32">
        <f>'Financial Statements'!D12/'Financial Statements'!D8</f>
        <v>0.6176675227</v>
      </c>
    </row>
    <row r="76" ht="14.25" customHeight="1">
      <c r="B76" s="46" t="s">
        <v>31</v>
      </c>
      <c r="C76" s="32">
        <f>'Financial Statements'!B13/'Financial Statements'!B8</f>
        <v>0.4330963056</v>
      </c>
      <c r="D76" s="32">
        <f>'Financial Statements'!C13/'Financial Statements'!C8</f>
        <v>0.4177935963</v>
      </c>
      <c r="E76" s="32">
        <f>'Financial Statements'!D13/'Financial Statements'!D8</f>
        <v>0.3823324773</v>
      </c>
    </row>
    <row r="77" ht="14.25" customHeight="1">
      <c r="B77" s="30" t="s">
        <v>33</v>
      </c>
      <c r="C77" s="32">
        <f>'Financial Statements'!B15/'Financial Statements'!B8</f>
        <v>0.06657148364</v>
      </c>
      <c r="D77" s="32">
        <f>'Financial Statements'!C15/'Financial Statements'!C8</f>
        <v>0.05990426907</v>
      </c>
      <c r="E77" s="32">
        <f>'Financial Statements'!D15/'Financial Statements'!D8</f>
        <v>0.06830956414</v>
      </c>
    </row>
    <row r="78" ht="14.25" customHeight="1">
      <c r="B78" s="30" t="s">
        <v>34</v>
      </c>
      <c r="C78" s="32">
        <f>'Financial Statements'!B16/'Financial Statements'!B8</f>
        <v>0.06363737802</v>
      </c>
      <c r="D78" s="32">
        <f>'Financial Statements'!C16/'Financial Statements'!C8</f>
        <v>0.0600655519</v>
      </c>
      <c r="E78" s="32">
        <f>'Financial Statements'!D16/'Financial Statements'!D8</f>
        <v>0.07254976959</v>
      </c>
      <c r="F78" s="32"/>
    </row>
    <row r="79" ht="14.25" customHeight="1">
      <c r="B79" s="51" t="s">
        <v>12</v>
      </c>
      <c r="C79" s="32">
        <f>'Financial Statements'!B18/'Financial Statements'!B8</f>
        <v>0.302887444</v>
      </c>
      <c r="D79" s="32">
        <f>'Financial Statements'!C18/'Financial Statements'!C8</f>
        <v>0.2978237753</v>
      </c>
      <c r="E79" s="32">
        <f>'Financial Statements'!D18/'Financial Statements'!D8</f>
        <v>0.2414731435</v>
      </c>
    </row>
    <row r="80" ht="14.25" customHeight="1">
      <c r="B80" s="51" t="s">
        <v>39</v>
      </c>
      <c r="C80" s="32">
        <f>'Financial Statements'!B22/'Financial Statements'!B8</f>
        <v>0.2530964071</v>
      </c>
      <c r="D80" s="32">
        <f>'Financial Statements'!C22/'Financial Statements'!C8</f>
        <v>0.2588179336</v>
      </c>
      <c r="E80" s="32">
        <f>'Financial Statements'!D22/'Financial Statements'!D8</f>
        <v>0.2091361128</v>
      </c>
    </row>
    <row r="81" ht="14.25" customHeight="1">
      <c r="C81" s="52"/>
      <c r="D81" s="50"/>
      <c r="E81" s="50"/>
    </row>
    <row r="82" ht="14.25" customHeight="1">
      <c r="A82" s="45">
        <v>8.0</v>
      </c>
      <c r="B82" s="30" t="s">
        <v>15</v>
      </c>
      <c r="C82" s="32">
        <f>'Financial Statements'!B21/'Financial Statements'!B20</f>
        <v>0.1620446168</v>
      </c>
      <c r="D82" s="32">
        <f>'Financial Statements'!C21/'Financial Statements'!C20</f>
        <v>0.1330226084</v>
      </c>
      <c r="E82" s="32">
        <f>'Financial Statements'!D21/'Financial Statements'!D20</f>
        <v>0.1442816473</v>
      </c>
    </row>
    <row r="83" ht="14.25" customHeight="1">
      <c r="B83" s="30" t="s">
        <v>16</v>
      </c>
      <c r="C83" s="32">
        <f>-'Financial Statements'!B96/'Financial Statements'!B8</f>
        <v>0.02715505873</v>
      </c>
      <c r="D83" s="32">
        <f>-'Financial Statements'!C96/'Financial Statements'!C8</f>
        <v>0.03030203626</v>
      </c>
      <c r="E83" s="32">
        <f>-'Financial Statements'!D96/'Financial Statements'!D8</f>
        <v>0.02662513888</v>
      </c>
    </row>
    <row r="84" ht="14.25" customHeight="1">
      <c r="B84" s="30" t="s">
        <v>17</v>
      </c>
      <c r="C84" s="32">
        <f>-'Financial Statements'!B96/'Financial Statements'!B47</f>
        <v>0.04926616057</v>
      </c>
      <c r="D84" s="32">
        <f>-'Financial Statements'!C96/'Financial Statements'!C47</f>
        <v>0.05128003479</v>
      </c>
      <c r="E84" s="32">
        <f>-'Financial Statements'!D96/'Financial Statements'!D47</f>
        <v>0.04056611628</v>
      </c>
    </row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</sheetData>
  <mergeCells count="1">
    <mergeCell ref="C2:E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2020-05-18T16:32:37Z</dcterms:created>
  <dc:creator>Dell</dc:creator>
</cp:coreProperties>
</file>