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Financial Statements" sheetId="2" r:id="rId5"/>
    <sheet state="visible" name="List of Ratios" sheetId="3" r:id="rId6"/>
  </sheets>
  <definedNames/>
  <calcPr/>
  <extLst>
    <ext uri="GoogleSheetsCustomDataVersion2">
      <go:sheetsCustomData xmlns:go="http://customooxmlschemas.google.com/" r:id="rId7" roundtripDataChecksum="mIls8AmSgAVz/Vjy6FBBKVOdFCn+TCjp91raBW/MuG8="/>
    </ext>
  </extLst>
</workbook>
</file>

<file path=xl/sharedStrings.xml><?xml version="1.0" encoding="utf-8"?>
<sst xmlns="http://schemas.openxmlformats.org/spreadsheetml/2006/main" count="176" uniqueCount="162">
  <si>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</si>
  <si>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</si>
  <si>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</si>
  <si>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Amazon.com, Inc. - Annual reports, proxies and shareholder letters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</si>
  <si>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</si>
  <si>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</si>
  <si>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</si>
  <si>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</si>
  <si>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</si>
  <si>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</si>
  <si>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</si>
  <si>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</si>
  <si>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AMAZON.COM, INC.</t>
  </si>
  <si>
    <t>(In millions, except number of shares which are reflected in thousands and per share amounts)</t>
  </si>
  <si>
    <t>CONSOLIDATED STATEMENTS OF OPERATIONS</t>
  </si>
  <si>
    <t>(in millions, except per share data)</t>
  </si>
  <si>
    <t>Year Ended December 31,</t>
  </si>
  <si>
    <t>Net product sales</t>
  </si>
  <si>
    <t>Net service sales</t>
  </si>
  <si>
    <t>Total net sales</t>
  </si>
  <si>
    <t>Operating expenses:</t>
  </si>
  <si>
    <t>Cost of sales</t>
  </si>
  <si>
    <t>Gross margin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</si>
  <si>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</si>
  <si>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</si>
  <si>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</si>
  <si>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</si>
  <si>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</si>
  <si>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operating expenses</t>
  </si>
  <si>
    <t>Operating income(EBIT)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</si>
  <si>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</si>
  <si>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</si>
  <si>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</si>
  <si>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</si>
  <si>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</si>
  <si>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</si>
  <si>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</si>
  <si>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</si>
  <si>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</si>
  <si>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</si>
  <si>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</si>
  <si>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</si>
  <si>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</si>
  <si>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CONSOLIDATED BALANCE SHEETS</t>
  </si>
  <si>
    <t>December 31,</t>
  </si>
  <si>
    <t>ASSETS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</si>
  <si>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</si>
  <si>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</si>
  <si>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</si>
  <si>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</si>
  <si>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</si>
  <si>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</si>
  <si>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</si>
  <si>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</si>
  <si>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</si>
  <si>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</si>
  <si>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non-current assets</t>
  </si>
  <si>
    <t>Total assets</t>
  </si>
  <si>
    <t>LIABILITIES AND STOCKHOLDERS’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</si>
  <si>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</si>
  <si>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</si>
  <si>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</si>
  <si>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</si>
  <si>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</si>
  <si>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</si>
  <si>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</si>
  <si>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</si>
  <si>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Total non current liabilities</t>
  </si>
  <si>
    <t>Commitments and contingencies (Note 7)</t>
  </si>
  <si>
    <t>Stockholders’ equity:</t>
  </si>
  <si>
    <t>Preferred stock ($0.01 par value; 500 shares authorized; no shares issued or outstanding)</t>
  </si>
  <si>
    <t>—</t>
  </si>
  <si>
    <t>Common stock ($0.01 par value; 100,000 shares authorized; 10,644 and 10,757 shares</t>
  </si>
  <si>
    <t>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</si>
  <si>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</si>
  <si>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</si>
  <si>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</si>
  <si>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</si>
  <si>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</si>
  <si>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</si>
  <si>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CONSOLIDATED STATEMENTS OF CASH FLOWS</t>
  </si>
  <si>
    <t xml:space="preserve">Years ended </t>
  </si>
  <si>
    <t>CASH, CASH EQUIVALENTS, AND RESTRICTED CASH, BEGINNING OF</t>
  </si>
  <si>
    <t>PERIOD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</si>
  <si>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</si>
  <si>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</si>
  <si>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</si>
  <si>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</si>
  <si>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</si>
  <si>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</si>
  <si>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</si>
  <si>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</si>
  <si>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</si>
  <si>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</si>
  <si>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</si>
  <si>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</si>
  <si>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</si>
  <si>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</si>
  <si>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</si>
  <si>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</si>
  <si>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</si>
  <si>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</si>
  <si>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</si>
  <si>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</si>
  <si>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</si>
  <si>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</si>
  <si>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</si>
  <si>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</si>
  <si>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</si>
  <si>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</si>
  <si>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</si>
  <si>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</si>
  <si>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Years ended 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</si>
  <si>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</si>
  <si>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</si>
  <si>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</si>
  <si>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</si>
  <si>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</si>
  <si>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</si>
  <si>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</si>
  <si>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</si>
  <si>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</si>
  <si>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</si>
  <si>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</si>
  <si>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daily operating exenditure</t>
  </si>
  <si>
    <t>Profitability</t>
  </si>
  <si>
    <t>EBITDA margin</t>
  </si>
  <si>
    <t>EBITDA</t>
  </si>
  <si>
    <t>EBIT margin</t>
  </si>
  <si>
    <t>EBIT</t>
  </si>
  <si>
    <t>Net margin</t>
  </si>
  <si>
    <t>Depreciation and amortization expense on property and equipment was $16.2 billion, $22.9 billion, and $24.9 billion</t>
  </si>
  <si>
    <t>which includes amortization of property and equipment acquired under finance leases of $8.5 billion, $9.9 billion, and $6.1</t>
  </si>
  <si>
    <t>billion for 2020, 2021, and 2022.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</si>
  <si>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</si>
  <si>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</si>
  <si>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</si>
  <si>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</si>
  <si>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</si>
  <si>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</si>
  <si>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</si>
  <si>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</si>
  <si>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Debt service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</si>
  <si>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</si>
  <si>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</si>
  <si>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</si>
  <si>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</si>
  <si>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</si>
  <si>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</si>
  <si>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earnings(P/E)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</si>
  <si>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</si>
  <si>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</si>
  <si>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</si>
  <si>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</si>
  <si>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</si>
  <si>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</si>
  <si>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</si>
  <si>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</si>
  <si>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</si>
  <si>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</si>
  <si>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share price</t>
  </si>
  <si>
    <t>Market capitalization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</si>
</sst>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_);_(* \(#,##0\);_(* &quot;-&quot;??_);_(@_)"/>
    <numFmt numFmtId="165" formatCode="[$$-809]#,##0"/>
    <numFmt numFmtId="166" formatCode="[$$-809]#,##0.00"/>
    <numFmt numFmtId="167" formatCode="0.0"/>
    <numFmt numFmtId="168" formatCode="0.00000"/>
    <numFmt numFmtId="169" formatCode="m-d"/>
  </numFmts>
  <fonts count="25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u/>
      <sz val="11.0"/>
      <color rgb="FF0000FF"/>
      <name val="Calibri"/>
    </font>
    <font>
      <b/>
      <sz val="11.0"/>
      <color theme="1"/>
      <name val="Calibri"/>
    </font>
    <font>
      <b/>
      <sz val="11.0"/>
      <color theme="0"/>
      <name val="Times New Roman"/>
    </font>
    <font>
      <sz val="11.0"/>
      <color theme="0"/>
      <name val="Calibri"/>
    </font>
    <font/>
    <font>
      <color theme="1"/>
      <name val="Times New Roman"/>
    </font>
    <font>
      <color theme="1"/>
      <name val="Arial"/>
    </font>
    <font>
      <sz val="8.0"/>
      <color theme="1"/>
      <name val="Times New Roman"/>
    </font>
    <font>
      <b/>
      <sz val="11.0"/>
      <color theme="1"/>
      <name val="Times New Roman"/>
    </font>
    <font>
      <b/>
      <color theme="1"/>
      <name val="Times New Roman"/>
    </font>
    <font>
      <b/>
      <u/>
      <color theme="1"/>
      <name val="Times New Roman"/>
    </font>
    <font>
      <b/>
      <sz val="11.0"/>
      <color theme="1"/>
      <name val="Calibri"/>
      <scheme val="minor"/>
    </font>
    <font>
      <color theme="1"/>
      <name val="Calibri"/>
      <scheme val="minor"/>
    </font>
    <font>
      <u/>
      <color theme="1"/>
      <name val="Times New Roman"/>
    </font>
    <font>
      <u/>
      <color theme="1"/>
      <name val="Times New Roman"/>
    </font>
    <font>
      <u/>
      <color theme="1"/>
      <name val="Times New Roman"/>
    </font>
    <font>
      <u/>
      <color theme="1"/>
      <name val="Arial"/>
    </font>
    <font>
      <sz val="11.0"/>
      <color theme="1"/>
      <name val="Times New Roman"/>
    </font>
    <font>
      <sz val="11.0"/>
      <color theme="1"/>
      <name val="Arial"/>
    </font>
    <font>
      <sz val="9.0"/>
      <color theme="1"/>
      <name val="Times New Roman"/>
    </font>
    <font>
      <b/>
      <sz val="20.0"/>
      <color theme="0"/>
      <name val="Calibri"/>
    </font>
    <font>
      <sz val="9.0"/>
      <color theme="4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073763"/>
        <bgColor rgb="FF073763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horizontal="left" readingOrder="0" shrinkToFit="0" wrapText="1"/>
    </xf>
    <xf borderId="0" fillId="0" fontId="4" numFmtId="0" xfId="0" applyAlignment="1" applyFont="1">
      <alignment shrinkToFit="0" wrapText="1"/>
    </xf>
    <xf borderId="0" fillId="3" fontId="5" numFmtId="0" xfId="0" applyFill="1" applyFont="1"/>
    <xf borderId="0" fillId="2" fontId="6" numFmtId="0" xfId="0" applyFont="1"/>
    <xf borderId="1" fillId="2" fontId="6" numFmtId="0" xfId="0" applyBorder="1" applyFont="1"/>
    <xf borderId="0" fillId="0" fontId="0" numFmtId="0" xfId="0" applyFont="1"/>
    <xf borderId="2" fillId="4" fontId="4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0" fillId="0" fontId="8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9" numFmtId="164" xfId="0" applyAlignment="1" applyFont="1" applyNumberFormat="1">
      <alignment vertical="bottom"/>
    </xf>
    <xf borderId="0" fillId="0" fontId="11" numFmtId="1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horizontal="right" vertical="bottom"/>
    </xf>
    <xf borderId="0" fillId="0" fontId="8" numFmtId="3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3" xfId="0" applyAlignment="1" applyFont="1" applyNumberFormat="1">
      <alignment horizontal="right" vertical="bottom"/>
    </xf>
    <xf borderId="0" fillId="0" fontId="12" numFmtId="0" xfId="0" applyAlignment="1" applyFont="1">
      <alignment readingOrder="0" vertical="bottom"/>
    </xf>
    <xf borderId="0" fillId="0" fontId="9" numFmtId="3" xfId="0" applyAlignment="1" applyFont="1" applyNumberFormat="1">
      <alignment vertical="bottom"/>
    </xf>
    <xf borderId="0" fillId="0" fontId="13" numFmtId="3" xfId="0" applyAlignment="1" applyFont="1" applyNumberFormat="1">
      <alignment horizontal="right" vertical="bottom"/>
    </xf>
    <xf borderId="0" fillId="0" fontId="8" numFmtId="1" xfId="0" applyAlignment="1" applyFont="1" applyNumberFormat="1">
      <alignment horizontal="right" vertical="bottom"/>
    </xf>
    <xf borderId="5" fillId="0" fontId="4" numFmtId="0" xfId="0" applyBorder="1" applyFont="1"/>
    <xf borderId="0" fillId="0" fontId="9" numFmtId="1" xfId="0" applyAlignment="1" applyFont="1" applyNumberFormat="1">
      <alignment vertical="bottom"/>
    </xf>
    <xf borderId="0" fillId="0" fontId="8" numFmtId="0" xfId="0" applyAlignment="1" applyFont="1">
      <alignment vertical="bottom"/>
    </xf>
    <xf borderId="0" fillId="0" fontId="8" numFmtId="1" xfId="0" applyAlignment="1" applyFont="1" applyNumberFormat="1">
      <alignment horizontal="right" vertical="bottom"/>
    </xf>
    <xf borderId="0" fillId="0" fontId="12" numFmtId="165" xfId="0" applyAlignment="1" applyFont="1" applyNumberFormat="1">
      <alignment horizontal="right" vertical="bottom"/>
    </xf>
    <xf borderId="0" fillId="0" fontId="8" numFmtId="166" xfId="0" applyAlignment="1" applyFont="1" applyNumberFormat="1">
      <alignment horizontal="right" vertical="bottom"/>
    </xf>
    <xf borderId="0" fillId="0" fontId="2" numFmtId="0" xfId="0" applyAlignment="1" applyFont="1">
      <alignment horizontal="left"/>
    </xf>
    <xf borderId="0" fillId="0" fontId="2" numFmtId="3" xfId="0" applyFont="1" applyNumberFormat="1"/>
    <xf borderId="0" fillId="0" fontId="2" numFmtId="4" xfId="0" applyFont="1" applyNumberFormat="1"/>
    <xf borderId="0" fillId="0" fontId="4" numFmtId="0" xfId="0" applyAlignment="1" applyFont="1">
      <alignment horizontal="center"/>
    </xf>
    <xf borderId="0" fillId="0" fontId="10" numFmtId="1" xfId="0" applyAlignment="1" applyFont="1" applyNumberFormat="1">
      <alignment vertical="bottom"/>
    </xf>
    <xf borderId="0" fillId="0" fontId="10" numFmtId="1" xfId="0" applyAlignment="1" applyFont="1" applyNumberFormat="1">
      <alignment horizontal="right" vertical="bottom"/>
    </xf>
    <xf borderId="0" fillId="0" fontId="11" numFmtId="1" xfId="0" applyAlignment="1" applyFont="1" applyNumberFormat="1">
      <alignment horizontal="right" readingOrder="0" vertical="bottom"/>
    </xf>
    <xf borderId="0" fillId="0" fontId="14" numFmtId="0" xfId="0" applyAlignment="1" applyFont="1">
      <alignment readingOrder="0"/>
    </xf>
    <xf borderId="0" fillId="0" fontId="2" numFmtId="164" xfId="0" applyFont="1" applyNumberFormat="1"/>
    <xf borderId="0" fillId="0" fontId="8" numFmtId="165" xfId="0" applyAlignment="1" applyFont="1" applyNumberFormat="1">
      <alignment horizontal="right" readingOrder="0" vertical="bottom"/>
    </xf>
    <xf borderId="0" fillId="0" fontId="8" numFmtId="3" xfId="0" applyAlignment="1" applyFont="1" applyNumberFormat="1">
      <alignment horizontal="right" readingOrder="0" vertical="bottom"/>
    </xf>
    <xf borderId="0" fillId="0" fontId="15" numFmtId="164" xfId="0" applyAlignment="1" applyFont="1" applyNumberFormat="1">
      <alignment readingOrder="0"/>
    </xf>
    <xf borderId="0" fillId="0" fontId="16" numFmtId="3" xfId="0" applyAlignment="1" applyFont="1" applyNumberFormat="1">
      <alignment horizontal="right" vertical="bottom"/>
    </xf>
    <xf borderId="0" fillId="0" fontId="8" numFmtId="0" xfId="0" applyAlignment="1" applyFont="1">
      <alignment readingOrder="0" vertical="bottom"/>
    </xf>
    <xf borderId="0" fillId="0" fontId="17" numFmtId="165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vertical="bottom"/>
    </xf>
    <xf borderId="6" fillId="0" fontId="4" numFmtId="164" xfId="0" applyBorder="1" applyFont="1" applyNumberFormat="1"/>
    <xf borderId="5" fillId="0" fontId="4" numFmtId="164" xfId="0" applyBorder="1" applyFont="1" applyNumberFormat="1"/>
    <xf borderId="0" fillId="0" fontId="19" numFmtId="164" xfId="0" applyAlignment="1" applyFont="1" applyNumberFormat="1">
      <alignment vertical="bottom"/>
    </xf>
    <xf borderId="0" fillId="0" fontId="8" numFmtId="164" xfId="0" applyAlignment="1" applyFont="1" applyNumberFormat="1">
      <alignment vertical="bottom"/>
    </xf>
    <xf borderId="0" fillId="0" fontId="8" numFmtId="1" xfId="0" applyAlignment="1" applyFont="1" applyNumberFormat="1">
      <alignment horizontal="right" readingOrder="0" vertical="bottom"/>
    </xf>
    <xf borderId="6" fillId="0" fontId="4" numFmtId="0" xfId="0" applyBorder="1" applyFont="1"/>
    <xf borderId="0" fillId="0" fontId="20" numFmtId="0" xfId="0" applyAlignment="1" applyFont="1">
      <alignment vertical="bottom"/>
    </xf>
    <xf borderId="0" fillId="0" fontId="21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22" numFmtId="165" xfId="0" applyAlignment="1" applyFont="1" applyNumberFormat="1">
      <alignment horizontal="right" vertical="bottom"/>
    </xf>
    <xf borderId="0" fillId="0" fontId="20" numFmtId="165" xfId="0" applyAlignment="1" applyFont="1" applyNumberFormat="1">
      <alignment horizontal="right" vertical="bottom"/>
    </xf>
    <xf borderId="0" fillId="0" fontId="21" numFmtId="164" xfId="0" applyAlignment="1" applyFont="1" applyNumberFormat="1">
      <alignment vertical="bottom"/>
    </xf>
    <xf borderId="0" fillId="0" fontId="22" numFmtId="3" xfId="0" applyAlignment="1" applyFont="1" applyNumberFormat="1">
      <alignment horizontal="right" vertical="bottom"/>
    </xf>
    <xf borderId="0" fillId="0" fontId="20" numFmtId="3" xfId="0" applyAlignment="1" applyFont="1" applyNumberFormat="1">
      <alignment horizontal="right" vertical="bottom"/>
    </xf>
    <xf borderId="0" fillId="0" fontId="22" numFmtId="1" xfId="0" applyAlignment="1" applyFont="1" applyNumberFormat="1">
      <alignment horizontal="right" vertical="bottom"/>
    </xf>
    <xf borderId="0" fillId="0" fontId="20" numFmtId="1" xfId="0" applyAlignment="1" applyFont="1" applyNumberFormat="1">
      <alignment horizontal="right" vertical="bottom"/>
    </xf>
    <xf borderId="0" fillId="0" fontId="22" numFmtId="164" xfId="0" applyAlignment="1" applyFont="1" applyNumberFormat="1">
      <alignment vertical="bottom"/>
    </xf>
    <xf borderId="0" fillId="0" fontId="20" numFmtId="164" xfId="0" applyAlignment="1" applyFont="1" applyNumberFormat="1">
      <alignment vertical="bottom"/>
    </xf>
    <xf borderId="1" fillId="2" fontId="23" numFmtId="0" xfId="0" applyAlignment="1" applyBorder="1" applyFont="1">
      <alignment vertical="center"/>
    </xf>
    <xf borderId="0" fillId="4" fontId="5" numFmtId="0" xfId="0" applyFont="1"/>
    <xf borderId="1" fillId="4" fontId="6" numFmtId="0" xfId="0" applyAlignment="1" applyBorder="1" applyFont="1">
      <alignment horizontal="center"/>
    </xf>
    <xf borderId="0" fillId="0" fontId="4" numFmtId="0" xfId="0" applyAlignment="1" applyFont="1">
      <alignment readingOrder="0"/>
    </xf>
    <xf borderId="7" fillId="0" fontId="2" numFmtId="167" xfId="0" applyBorder="1" applyFont="1" applyNumberFormat="1"/>
    <xf borderId="7" fillId="0" fontId="4" numFmtId="0" xfId="0" applyBorder="1" applyFont="1"/>
    <xf borderId="7" fillId="0" fontId="15" numFmtId="0" xfId="0" applyBorder="1" applyFont="1"/>
    <xf borderId="7" fillId="0" fontId="2" numFmtId="0" xfId="0" applyAlignment="1" applyBorder="1" applyFont="1">
      <alignment horizontal="left"/>
    </xf>
    <xf borderId="7" fillId="0" fontId="15" numFmtId="168" xfId="0" applyBorder="1" applyFont="1" applyNumberFormat="1"/>
    <xf borderId="0" fillId="5" fontId="15" numFmtId="0" xfId="0" applyFill="1" applyFont="1"/>
    <xf borderId="7" fillId="0" fontId="15" numFmtId="10" xfId="0" applyBorder="1" applyFont="1" applyNumberFormat="1"/>
    <xf borderId="7" fillId="0" fontId="15" numFmtId="3" xfId="0" applyBorder="1" applyFont="1" applyNumberFormat="1"/>
    <xf borderId="7" fillId="0" fontId="15" numFmtId="0" xfId="0" applyAlignment="1" applyBorder="1" applyFont="1">
      <alignment readingOrder="0"/>
    </xf>
    <xf borderId="7" fillId="0" fontId="4" numFmtId="0" xfId="0" applyAlignment="1" applyBorder="1" applyFont="1">
      <alignment horizontal="left"/>
    </xf>
    <xf borderId="7" fillId="0" fontId="24" numFmtId="0" xfId="0" applyAlignment="1" applyBorder="1" applyFont="1">
      <alignment readingOrder="0"/>
    </xf>
    <xf borderId="7" fillId="0" fontId="15" numFmtId="168" xfId="0" applyAlignment="1" applyBorder="1" applyFont="1" applyNumberFormat="1">
      <alignment readingOrder="0"/>
    </xf>
    <xf borderId="0" fillId="0" fontId="15" numFmtId="169" xfId="0" applyAlignment="1" applyFont="1" applyNumberFormat="1">
      <alignment readingOrder="0"/>
    </xf>
    <xf borderId="7" fillId="0" fontId="2" numFmtId="0" xfId="0" applyAlignment="1" applyBorder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7.86"/>
    <col customWidth="1" min="2" max="26" width="8.71"/>
  </cols>
  <sheetData>
    <row r="1" ht="14.25" customHeight="1">
      <c r="A1" s="1" t="s">
        <v>0</v>
      </c>
    </row>
    <row r="2" ht="14.25" customHeight="1">
      <c r="A2" s="2"/>
    </row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4" t="s">
        <v>3</v>
      </c>
    </row>
    <row r="6" ht="14.25" customHeight="1">
      <c r="A6" s="2"/>
    </row>
    <row r="7" ht="14.25" customHeight="1">
      <c r="A7" s="2" t="s">
        <v>4</v>
      </c>
    </row>
    <row r="8" ht="14.25" customHeight="1">
      <c r="A8" s="2" t="s">
        <v>5</v>
      </c>
    </row>
    <row r="9" ht="14.25" customHeight="1">
      <c r="A9" s="2" t="s">
        <v>6</v>
      </c>
    </row>
    <row r="10" ht="14.25" customHeight="1">
      <c r="A10" s="2" t="s">
        <v>7</v>
      </c>
    </row>
    <row r="11" ht="14.25" customHeight="1">
      <c r="A11" s="2" t="s">
        <v>8</v>
      </c>
    </row>
    <row r="12" ht="14.25" customHeight="1">
      <c r="A12" s="2"/>
    </row>
    <row r="13" ht="14.25" customHeight="1">
      <c r="A13" s="5" t="s">
        <v>9</v>
      </c>
    </row>
    <row r="14" ht="14.25" customHeight="1">
      <c r="A14" s="2" t="s">
        <v>10</v>
      </c>
    </row>
    <row r="15" ht="14.25" customHeight="1">
      <c r="A15" s="2" t="s">
        <v>11</v>
      </c>
    </row>
    <row r="16" ht="14.25" customHeight="1">
      <c r="A16" s="2"/>
    </row>
    <row r="17" ht="14.25" customHeight="1">
      <c r="A17" s="2"/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 ht="14.25" customHeight="1">
      <c r="A998" s="2"/>
    </row>
    <row r="999" ht="14.25" customHeight="1">
      <c r="A999" s="2"/>
    </row>
    <row r="1000" ht="14.25" customHeight="1">
      <c r="A1000" s="2"/>
    </row>
  </sheetData>
  <hyperlinks>
    <hyperlink r:id="rId1" ref="A5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9.71"/>
    <col customWidth="1" min="2" max="4" width="11.57"/>
    <col customWidth="1" min="5" max="5" width="11.71"/>
    <col customWidth="1" min="6" max="27" width="8.71"/>
  </cols>
  <sheetData>
    <row r="1" ht="60.0" customHeight="1">
      <c r="A1" s="6" t="s">
        <v>12</v>
      </c>
      <c r="B1" s="7"/>
      <c r="C1" s="8" t="s">
        <v>13</v>
      </c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ht="14.25" customHeight="1">
      <c r="A2" s="10" t="s">
        <v>14</v>
      </c>
      <c r="B2" s="11"/>
      <c r="C2" s="11"/>
      <c r="D2" s="11"/>
      <c r="E2" s="1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14.25" customHeight="1">
      <c r="A3" s="13" t="s">
        <v>15</v>
      </c>
      <c r="B3" s="14"/>
      <c r="C3" s="14"/>
      <c r="D3" s="14"/>
      <c r="E3" s="1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ht="14.25" customHeight="1">
      <c r="A4" s="15"/>
      <c r="B4" s="16"/>
      <c r="C4" s="16"/>
      <c r="D4" s="16"/>
      <c r="E4" s="1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ht="14.25" customHeight="1">
      <c r="A5" s="17" t="s">
        <v>16</v>
      </c>
      <c r="B5" s="15"/>
      <c r="C5" s="15"/>
      <c r="D5" s="15"/>
      <c r="E5" s="1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ht="14.25" customHeight="1">
      <c r="A6" s="14"/>
      <c r="B6" s="18"/>
      <c r="C6" s="18"/>
      <c r="D6" s="18"/>
      <c r="E6" s="1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ht="14.25" customHeight="1">
      <c r="A7" s="14"/>
      <c r="B7" s="19"/>
      <c r="C7" s="19">
        <v>2020.0</v>
      </c>
      <c r="D7" s="19">
        <v>2021.0</v>
      </c>
      <c r="E7" s="19">
        <v>2022.0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ht="14.25" customHeight="1">
      <c r="A8" s="20" t="s">
        <v>17</v>
      </c>
      <c r="B8" s="21"/>
      <c r="C8" s="21">
        <v>215915.0</v>
      </c>
      <c r="D8" s="21">
        <v>241787.0</v>
      </c>
      <c r="E8" s="21">
        <v>242901.0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ht="14.25" customHeight="1">
      <c r="A9" s="13" t="s">
        <v>18</v>
      </c>
      <c r="B9" s="22"/>
      <c r="C9" s="22">
        <v>170149.0</v>
      </c>
      <c r="D9" s="22">
        <v>228035.0</v>
      </c>
      <c r="E9" s="22">
        <v>271082.0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ht="14.25" customHeight="1">
      <c r="A10" s="23" t="s">
        <v>19</v>
      </c>
      <c r="B10" s="22"/>
      <c r="C10" s="22">
        <v>386064.0</v>
      </c>
      <c r="D10" s="24">
        <v>469822.0</v>
      </c>
      <c r="E10" s="24">
        <v>513983.0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ht="14.25" customHeight="1">
      <c r="A11" s="20" t="s">
        <v>20</v>
      </c>
      <c r="B11" s="18"/>
      <c r="C11" s="18"/>
      <c r="D11" s="18"/>
      <c r="E11" s="1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ht="14.25" customHeight="1">
      <c r="A12" s="20" t="s">
        <v>21</v>
      </c>
      <c r="B12" s="22"/>
      <c r="C12" s="22">
        <v>233307.0</v>
      </c>
      <c r="D12" s="22">
        <v>272344.0</v>
      </c>
      <c r="E12" s="22">
        <v>288831.0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ht="14.25" customHeight="1">
      <c r="A13" s="25" t="s">
        <v>22</v>
      </c>
      <c r="B13" s="26"/>
      <c r="C13" s="26">
        <f t="shared" ref="C13:E13" si="1">C10-C12</f>
        <v>152757</v>
      </c>
      <c r="D13" s="27">
        <f t="shared" si="1"/>
        <v>197478</v>
      </c>
      <c r="E13" s="27">
        <f t="shared" si="1"/>
        <v>225152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ht="14.25" customHeight="1">
      <c r="A14" s="20"/>
      <c r="B14" s="26"/>
      <c r="C14" s="26"/>
      <c r="D14" s="22"/>
      <c r="E14" s="2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ht="14.25" customHeight="1">
      <c r="A15" s="20" t="s">
        <v>23</v>
      </c>
      <c r="B15" s="22"/>
      <c r="C15" s="22">
        <v>58517.0</v>
      </c>
      <c r="D15" s="22">
        <v>75111.0</v>
      </c>
      <c r="E15" s="22">
        <v>84299.0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ht="14.25" customHeight="1">
      <c r="A16" s="13" t="s">
        <v>24</v>
      </c>
      <c r="B16" s="22"/>
      <c r="C16" s="22">
        <v>42740.0</v>
      </c>
      <c r="D16" s="22">
        <v>56052.0</v>
      </c>
      <c r="E16" s="22">
        <v>73213.0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ht="14.25" customHeight="1">
      <c r="A17" s="20" t="s">
        <v>25</v>
      </c>
      <c r="B17" s="22"/>
      <c r="C17" s="22">
        <v>22008.0</v>
      </c>
      <c r="D17" s="22">
        <v>32551.0</v>
      </c>
      <c r="E17" s="22">
        <v>42238.0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ht="14.25" customHeight="1">
      <c r="A18" s="20" t="s">
        <v>26</v>
      </c>
      <c r="B18" s="22"/>
      <c r="C18" s="22">
        <v>6668.0</v>
      </c>
      <c r="D18" s="22">
        <v>8823.0</v>
      </c>
      <c r="E18" s="22">
        <v>11891.0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ht="14.25" customHeight="1">
      <c r="A19" s="20" t="s">
        <v>27</v>
      </c>
      <c r="B19" s="28"/>
      <c r="C19" s="28">
        <v>-75.0</v>
      </c>
      <c r="D19" s="28">
        <v>62.0</v>
      </c>
      <c r="E19" s="22">
        <v>1263.0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ht="14.25" customHeight="1">
      <c r="A20" s="20" t="s">
        <v>28</v>
      </c>
      <c r="B20" s="22"/>
      <c r="C20" s="22">
        <v>363165.0</v>
      </c>
      <c r="D20" s="22">
        <v>444943.0</v>
      </c>
      <c r="E20" s="22">
        <v>501735.0</v>
      </c>
      <c r="F20" s="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ht="14.25" customHeight="1">
      <c r="A21" s="25" t="s">
        <v>29</v>
      </c>
      <c r="B21" s="22"/>
      <c r="C21" s="22">
        <v>22899.0</v>
      </c>
      <c r="D21" s="24">
        <v>24879.0</v>
      </c>
      <c r="E21" s="24">
        <v>12248.0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14.25" customHeight="1">
      <c r="A22" s="20"/>
      <c r="B22" s="30"/>
      <c r="C22" s="30"/>
      <c r="D22" s="28"/>
      <c r="E22" s="2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14.25" customHeight="1">
      <c r="A23" s="31" t="s">
        <v>30</v>
      </c>
      <c r="B23" s="28"/>
      <c r="C23" s="28">
        <v>555.0</v>
      </c>
      <c r="D23" s="32">
        <v>448.0</v>
      </c>
      <c r="E23" s="32">
        <v>989.0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14.25" customHeight="1">
      <c r="A24" s="13" t="s">
        <v>31</v>
      </c>
      <c r="B24" s="22"/>
      <c r="C24" s="22">
        <v>-1647.0</v>
      </c>
      <c r="D24" s="22">
        <v>-1809.0</v>
      </c>
      <c r="E24" s="22">
        <v>-2367.0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14.25" customHeight="1">
      <c r="A25" s="20" t="s">
        <v>32</v>
      </c>
      <c r="B25" s="22"/>
      <c r="C25" s="22">
        <v>2371.0</v>
      </c>
      <c r="D25" s="22">
        <v>14633.0</v>
      </c>
      <c r="E25" s="22">
        <v>-16806.0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14.25" customHeight="1">
      <c r="A26" s="13" t="s">
        <v>33</v>
      </c>
      <c r="B26" s="22"/>
      <c r="C26" s="22">
        <v>1279.0</v>
      </c>
      <c r="D26" s="22">
        <v>13272.0</v>
      </c>
      <c r="E26" s="22">
        <v>-18184.0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14.25" customHeight="1">
      <c r="A27" s="23" t="s">
        <v>34</v>
      </c>
      <c r="B27" s="22"/>
      <c r="C27" s="22">
        <v>24178.0</v>
      </c>
      <c r="D27" s="24">
        <v>38151.0</v>
      </c>
      <c r="E27" s="24">
        <v>-5936.0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14.25" customHeight="1">
      <c r="A28" s="20" t="s">
        <v>35</v>
      </c>
      <c r="B28" s="22"/>
      <c r="C28" s="22">
        <v>-2863.0</v>
      </c>
      <c r="D28" s="22">
        <v>-4791.0</v>
      </c>
      <c r="E28" s="22">
        <v>3217.0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14.25" customHeight="1">
      <c r="A29" s="13" t="s">
        <v>36</v>
      </c>
      <c r="B29" s="28"/>
      <c r="C29" s="28">
        <v>16.0</v>
      </c>
      <c r="D29" s="28">
        <v>4.0</v>
      </c>
      <c r="E29" s="28">
        <v>-3.0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14.25" customHeight="1">
      <c r="A30" s="23" t="s">
        <v>37</v>
      </c>
      <c r="B30" s="21"/>
      <c r="C30" s="21">
        <v>21331.0</v>
      </c>
      <c r="D30" s="33">
        <v>33364.0</v>
      </c>
      <c r="E30" s="33">
        <v>-2722.0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14.25" customHeight="1">
      <c r="A31" s="20" t="s">
        <v>38</v>
      </c>
      <c r="B31" s="34"/>
      <c r="C31" s="34">
        <v>2.13</v>
      </c>
      <c r="D31" s="34">
        <v>3.3</v>
      </c>
      <c r="E31" s="34">
        <v>-0.27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14.25" customHeight="1">
      <c r="A32" s="20" t="s">
        <v>39</v>
      </c>
      <c r="B32" s="34"/>
      <c r="C32" s="34">
        <v>2.09</v>
      </c>
      <c r="D32" s="34">
        <v>3.24</v>
      </c>
      <c r="E32" s="34">
        <v>-0.27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14.25" customHeight="1">
      <c r="A33" s="20" t="s">
        <v>40</v>
      </c>
      <c r="B33" s="26"/>
      <c r="C33" s="26"/>
      <c r="D33" s="26"/>
      <c r="E33" s="2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14.25" customHeight="1">
      <c r="A34" s="20" t="s">
        <v>41</v>
      </c>
      <c r="B34" s="22"/>
      <c r="C34" s="22">
        <v>10005.0</v>
      </c>
      <c r="D34" s="22">
        <v>10117.0</v>
      </c>
      <c r="E34" s="22">
        <v>10189.0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14.25" customHeight="1">
      <c r="A35" s="20" t="s">
        <v>42</v>
      </c>
      <c r="B35" s="22"/>
      <c r="C35" s="22">
        <v>10198.0</v>
      </c>
      <c r="D35" s="22">
        <v>10296.0</v>
      </c>
      <c r="E35" s="22">
        <v>10189.0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14.25" customHeight="1">
      <c r="A36" s="35"/>
      <c r="B36" s="36"/>
      <c r="C36" s="36"/>
      <c r="D36" s="36"/>
      <c r="E36" s="36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14.25" customHeight="1">
      <c r="A37" s="35"/>
      <c r="B37" s="37"/>
      <c r="C37" s="37"/>
      <c r="D37" s="36"/>
      <c r="E37" s="3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ht="14.25" customHeight="1">
      <c r="A40" s="10" t="s">
        <v>43</v>
      </c>
      <c r="B40" s="11"/>
      <c r="C40" s="11"/>
      <c r="D40" s="11"/>
      <c r="E40" s="12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ht="14.25" customHeight="1">
      <c r="A41" s="13" t="s">
        <v>15</v>
      </c>
      <c r="B41" s="14"/>
      <c r="C41" s="14"/>
      <c r="D41" s="14"/>
      <c r="E41" s="3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ht="14.25" customHeight="1">
      <c r="A42" s="15"/>
      <c r="B42" s="39"/>
      <c r="C42" s="39" t="s">
        <v>44</v>
      </c>
      <c r="D42" s="30"/>
      <c r="E42" s="4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ht="14.25" customHeight="1">
      <c r="A43" s="15"/>
      <c r="B43" s="15"/>
      <c r="C43" s="15"/>
      <c r="D43" s="1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ht="14.25" customHeight="1">
      <c r="A44" s="15"/>
      <c r="B44" s="41">
        <v>2020.0</v>
      </c>
      <c r="C44" s="19">
        <v>2021.0</v>
      </c>
      <c r="D44" s="19">
        <v>2022.0</v>
      </c>
      <c r="E44" s="42">
        <v>2019.0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ht="14.25" customHeight="1">
      <c r="A45" s="20" t="s">
        <v>45</v>
      </c>
      <c r="B45" s="18"/>
      <c r="C45" s="18"/>
      <c r="D45" s="18"/>
      <c r="E45" s="4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ht="14.25" customHeight="1">
      <c r="A46" s="20" t="s">
        <v>46</v>
      </c>
      <c r="B46" s="18"/>
      <c r="C46" s="18"/>
      <c r="D46" s="18"/>
      <c r="E46" s="4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ht="14.25" customHeight="1">
      <c r="A47" s="20" t="s">
        <v>47</v>
      </c>
      <c r="B47" s="44">
        <v>42122.0</v>
      </c>
      <c r="C47" s="21">
        <v>36220.0</v>
      </c>
      <c r="D47" s="21">
        <v>53888.0</v>
      </c>
      <c r="E47" s="4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ht="14.25" customHeight="1">
      <c r="A48" s="20" t="s">
        <v>48</v>
      </c>
      <c r="B48" s="45">
        <v>42274.0</v>
      </c>
      <c r="C48" s="22">
        <v>59829.0</v>
      </c>
      <c r="D48" s="22">
        <v>16138.0</v>
      </c>
      <c r="E48" s="4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ht="14.25" customHeight="1">
      <c r="A49" s="20" t="s">
        <v>49</v>
      </c>
      <c r="B49" s="45">
        <v>23795.0</v>
      </c>
      <c r="C49" s="22">
        <v>32640.0</v>
      </c>
      <c r="D49" s="22">
        <v>34405.0</v>
      </c>
      <c r="E49" s="46">
        <v>20497.0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ht="14.25" customHeight="1">
      <c r="A50" s="20" t="s">
        <v>50</v>
      </c>
      <c r="B50" s="45">
        <v>24542.0</v>
      </c>
      <c r="C50" s="22">
        <v>32891.0</v>
      </c>
      <c r="D50" s="22">
        <v>42360.0</v>
      </c>
      <c r="E50" s="4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ht="14.25" customHeight="1">
      <c r="A51" s="20" t="s">
        <v>51</v>
      </c>
      <c r="B51" s="47">
        <f>SUM(B47:B50)</f>
        <v>132733</v>
      </c>
      <c r="C51" s="47">
        <v>161580.0</v>
      </c>
      <c r="D51" s="47">
        <v>146791.0</v>
      </c>
      <c r="E51" s="46">
        <v>96334.0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ht="14.25" customHeight="1">
      <c r="A52" s="13"/>
      <c r="B52" s="22"/>
      <c r="C52" s="22"/>
      <c r="D52" s="22"/>
      <c r="E52" s="4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ht="14.25" customHeight="1">
      <c r="A53" s="13" t="s">
        <v>52</v>
      </c>
      <c r="B53" s="45">
        <v>113114.0</v>
      </c>
      <c r="C53" s="22">
        <v>160281.0</v>
      </c>
      <c r="D53" s="22">
        <v>186715.0</v>
      </c>
      <c r="E53" s="43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ht="14.25" customHeight="1">
      <c r="A54" s="20" t="s">
        <v>53</v>
      </c>
      <c r="B54" s="45">
        <v>37553.0</v>
      </c>
      <c r="C54" s="22">
        <v>56082.0</v>
      </c>
      <c r="D54" s="22">
        <v>66123.0</v>
      </c>
      <c r="E54" s="43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ht="14.25" customHeight="1">
      <c r="A55" s="20" t="s">
        <v>54</v>
      </c>
      <c r="B55" s="45">
        <v>15017.0</v>
      </c>
      <c r="C55" s="22">
        <v>15371.0</v>
      </c>
      <c r="D55" s="22">
        <v>20288.0</v>
      </c>
      <c r="E55" s="4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ht="14.25" customHeight="1">
      <c r="A56" s="20" t="s">
        <v>55</v>
      </c>
      <c r="B56" s="45">
        <v>22778.0</v>
      </c>
      <c r="C56" s="22">
        <v>27235.0</v>
      </c>
      <c r="D56" s="22">
        <v>42758.0</v>
      </c>
      <c r="E56" s="43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ht="14.25" customHeight="1">
      <c r="A57" s="48" t="s">
        <v>56</v>
      </c>
      <c r="B57" s="47">
        <f>SUM(B53:B56)</f>
        <v>188462</v>
      </c>
      <c r="C57" s="47">
        <f t="shared" ref="C57:E57" si="2">C58-C51</f>
        <v>258969</v>
      </c>
      <c r="D57" s="47">
        <f t="shared" si="2"/>
        <v>315884</v>
      </c>
      <c r="E57" s="47">
        <f t="shared" si="2"/>
        <v>128914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ht="14.25" customHeight="1">
      <c r="A58" s="20" t="s">
        <v>57</v>
      </c>
      <c r="B58" s="49">
        <f>B51+B57</f>
        <v>321195</v>
      </c>
      <c r="C58" s="50">
        <v>420549.0</v>
      </c>
      <c r="D58" s="50">
        <v>462675.0</v>
      </c>
      <c r="E58" s="46">
        <v>225248.0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ht="14.25" customHeight="1">
      <c r="A59" s="20" t="s">
        <v>58</v>
      </c>
      <c r="B59" s="18"/>
      <c r="C59" s="18"/>
      <c r="D59" s="18"/>
      <c r="E59" s="5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ht="14.25" customHeight="1">
      <c r="A60" s="13" t="s">
        <v>59</v>
      </c>
      <c r="B60" s="15"/>
      <c r="C60" s="15"/>
      <c r="D60" s="1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ht="14.25" customHeight="1">
      <c r="A61" s="13" t="s">
        <v>60</v>
      </c>
      <c r="B61" s="44">
        <v>72539.0</v>
      </c>
      <c r="C61" s="21">
        <v>78664.0</v>
      </c>
      <c r="D61" s="21">
        <v>79600.0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ht="14.25" customHeight="1">
      <c r="A62" s="20" t="s">
        <v>61</v>
      </c>
      <c r="B62" s="45">
        <v>44138.0</v>
      </c>
      <c r="C62" s="22">
        <v>51775.0</v>
      </c>
      <c r="D62" s="22">
        <v>62566.0</v>
      </c>
      <c r="E62" s="4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ht="14.25" customHeight="1">
      <c r="A63" s="20" t="s">
        <v>62</v>
      </c>
      <c r="B63" s="45">
        <v>9708.0</v>
      </c>
      <c r="C63" s="22">
        <v>11827.0</v>
      </c>
      <c r="D63" s="22">
        <v>13227.0</v>
      </c>
      <c r="E63" s="4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ht="14.25" customHeight="1">
      <c r="A64" s="20" t="s">
        <v>63</v>
      </c>
      <c r="B64" s="47">
        <f>SUM(B61:B63)</f>
        <v>126385</v>
      </c>
      <c r="C64" s="47">
        <v>142266.0</v>
      </c>
      <c r="D64" s="47">
        <v>155393.0</v>
      </c>
      <c r="E64" s="4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ht="14.25" customHeight="1">
      <c r="A65" s="20"/>
      <c r="B65" s="22"/>
      <c r="C65" s="22"/>
      <c r="D65" s="22"/>
      <c r="E65" s="4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ht="14.25" customHeight="1">
      <c r="A66" s="20" t="s">
        <v>64</v>
      </c>
      <c r="B66" s="45">
        <v>52573.0</v>
      </c>
      <c r="C66" s="22">
        <v>67651.0</v>
      </c>
      <c r="D66" s="22">
        <v>72968.0</v>
      </c>
      <c r="E66" s="4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ht="14.25" customHeight="1">
      <c r="A67" s="20" t="s">
        <v>65</v>
      </c>
      <c r="B67" s="45">
        <v>31816.0</v>
      </c>
      <c r="C67" s="22">
        <v>48744.0</v>
      </c>
      <c r="D67" s="22">
        <v>67150.0</v>
      </c>
      <c r="E67" s="4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ht="14.25" customHeight="1">
      <c r="A68" s="20" t="s">
        <v>66</v>
      </c>
      <c r="B68" s="45">
        <v>17017.0</v>
      </c>
      <c r="C68" s="22">
        <v>23643.0</v>
      </c>
      <c r="D68" s="22">
        <v>21121.0</v>
      </c>
      <c r="E68" s="52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ht="14.25" customHeight="1">
      <c r="A69" s="48" t="s">
        <v>67</v>
      </c>
      <c r="B69" s="53">
        <f t="shared" ref="B69:D69" si="3">SUM(B66:B68)</f>
        <v>101406</v>
      </c>
      <c r="C69" s="53">
        <f t="shared" si="3"/>
        <v>140038</v>
      </c>
      <c r="D69" s="53">
        <f t="shared" si="3"/>
        <v>161239</v>
      </c>
      <c r="E69" s="4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ht="14.25" customHeight="1">
      <c r="A70" s="13" t="s">
        <v>68</v>
      </c>
      <c r="B70" s="18"/>
      <c r="C70" s="18"/>
      <c r="D70" s="18"/>
      <c r="E70" s="4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14.25" customHeight="1">
      <c r="A71" s="20" t="s">
        <v>69</v>
      </c>
      <c r="B71" s="18"/>
      <c r="C71" s="18"/>
      <c r="D71" s="18"/>
      <c r="E71" s="4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ht="14.25" customHeight="1">
      <c r="A72" s="20" t="s">
        <v>70</v>
      </c>
      <c r="B72" s="54"/>
      <c r="C72" s="54" t="s">
        <v>71</v>
      </c>
      <c r="D72" s="54" t="s">
        <v>71</v>
      </c>
      <c r="E72" s="4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ht="14.25" customHeight="1">
      <c r="A73" s="20" t="s">
        <v>72</v>
      </c>
      <c r="B73" s="18"/>
      <c r="C73" s="18"/>
      <c r="D73" s="18"/>
      <c r="E73" s="4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ht="14.25" customHeight="1">
      <c r="A74" s="20" t="s">
        <v>73</v>
      </c>
      <c r="B74" s="55">
        <v>5.0</v>
      </c>
      <c r="C74" s="28">
        <v>106.0</v>
      </c>
      <c r="D74" s="28">
        <v>108.0</v>
      </c>
      <c r="E74" s="4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ht="14.25" customHeight="1">
      <c r="A75" s="20" t="s">
        <v>74</v>
      </c>
      <c r="B75" s="45">
        <v>-1837.0</v>
      </c>
      <c r="C75" s="22">
        <v>-1837.0</v>
      </c>
      <c r="D75" s="22">
        <v>-7837.0</v>
      </c>
      <c r="E75" s="52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ht="14.25" customHeight="1">
      <c r="A76" s="13" t="s">
        <v>75</v>
      </c>
      <c r="B76" s="45">
        <v>42865.0</v>
      </c>
      <c r="C76" s="22">
        <v>55437.0</v>
      </c>
      <c r="D76" s="22">
        <v>75066.0</v>
      </c>
      <c r="E76" s="4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ht="14.25" customHeight="1">
      <c r="A77" s="13" t="s">
        <v>76</v>
      </c>
      <c r="B77" s="45">
        <v>-180.0</v>
      </c>
      <c r="C77" s="22">
        <v>-1376.0</v>
      </c>
      <c r="D77" s="22">
        <v>-4487.0</v>
      </c>
      <c r="E77" s="4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ht="14.25" customHeight="1">
      <c r="A78" s="20" t="s">
        <v>77</v>
      </c>
      <c r="B78" s="45">
        <v>52551.0</v>
      </c>
      <c r="C78" s="22">
        <v>85915.0</v>
      </c>
      <c r="D78" s="22">
        <v>83193.0</v>
      </c>
      <c r="E78" s="4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ht="14.25" customHeight="1">
      <c r="A79" s="20" t="s">
        <v>78</v>
      </c>
      <c r="B79" s="47">
        <f>SUM(B74:B78)</f>
        <v>93404</v>
      </c>
      <c r="C79" s="47">
        <v>138245.0</v>
      </c>
      <c r="D79" s="47">
        <v>146043.0</v>
      </c>
      <c r="E79" s="4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ht="14.25" customHeight="1">
      <c r="A80" s="20"/>
      <c r="B80" s="21"/>
      <c r="C80" s="21"/>
      <c r="D80" s="21"/>
      <c r="E80" s="4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ht="14.25" customHeight="1">
      <c r="A81" s="20" t="s">
        <v>79</v>
      </c>
      <c r="B81" s="21">
        <f>B79+B69+B64</f>
        <v>321195</v>
      </c>
      <c r="C81" s="21">
        <v>420549.0</v>
      </c>
      <c r="D81" s="21">
        <v>462675.0</v>
      </c>
      <c r="E81" s="4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ht="14.25" customHeight="1">
      <c r="A82" s="29"/>
      <c r="B82" s="52"/>
      <c r="C82" s="52"/>
      <c r="D82" s="52"/>
      <c r="E82" s="5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ht="14.25" customHeight="1">
      <c r="A83" s="56"/>
      <c r="B83" s="51"/>
      <c r="C83" s="51"/>
      <c r="D83" s="51"/>
      <c r="E83" s="51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ht="14.25" customHeight="1">
      <c r="A85" s="10" t="s">
        <v>80</v>
      </c>
      <c r="B85" s="11"/>
      <c r="C85" s="11"/>
      <c r="D85" s="11"/>
      <c r="E85" s="12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ht="14.25" customHeight="1">
      <c r="A86" s="9"/>
      <c r="B86" s="38"/>
      <c r="C86" s="38" t="s">
        <v>81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ht="14.25" customHeight="1">
      <c r="A87" s="9"/>
      <c r="B87" s="41"/>
      <c r="C87" s="41">
        <v>2020.0</v>
      </c>
      <c r="D87" s="19">
        <v>2021.0</v>
      </c>
      <c r="E87" s="19">
        <v>2022.0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ht="14.25" customHeight="1">
      <c r="A88" s="57" t="s">
        <v>82</v>
      </c>
      <c r="B88" s="58"/>
      <c r="C88" s="58"/>
      <c r="D88" s="58"/>
      <c r="E88" s="5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ht="14.25" customHeight="1">
      <c r="A89" s="59" t="s">
        <v>83</v>
      </c>
      <c r="B89" s="60"/>
      <c r="C89" s="60">
        <v>36410.0</v>
      </c>
      <c r="D89" s="61">
        <v>42377.0</v>
      </c>
      <c r="E89" s="61">
        <v>36477.0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ht="14.25" customHeight="1">
      <c r="A90" s="57" t="s">
        <v>84</v>
      </c>
      <c r="B90" s="18"/>
      <c r="C90" s="18"/>
      <c r="D90" s="62"/>
      <c r="E90" s="62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ht="14.25" customHeight="1">
      <c r="A91" s="59" t="s">
        <v>37</v>
      </c>
      <c r="B91" s="63"/>
      <c r="C91" s="63">
        <v>21331.0</v>
      </c>
      <c r="D91" s="64">
        <v>33364.0</v>
      </c>
      <c r="E91" s="64">
        <v>-2722.0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ht="14.25" customHeight="1">
      <c r="A92" s="59" t="s">
        <v>85</v>
      </c>
      <c r="B92" s="18"/>
      <c r="C92" s="18"/>
      <c r="D92" s="62"/>
      <c r="E92" s="62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ht="14.25" customHeight="1">
      <c r="A93" s="59" t="s">
        <v>86</v>
      </c>
      <c r="B93" s="18"/>
      <c r="C93" s="18"/>
      <c r="D93" s="62"/>
      <c r="E93" s="62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ht="14.25" customHeight="1">
      <c r="A94" s="59" t="s">
        <v>87</v>
      </c>
      <c r="B94" s="63"/>
      <c r="C94" s="63">
        <v>25180.0</v>
      </c>
      <c r="D94" s="64">
        <v>34433.0</v>
      </c>
      <c r="E94" s="64">
        <v>41921.0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ht="14.25" customHeight="1">
      <c r="A95" s="59" t="s">
        <v>88</v>
      </c>
      <c r="B95" s="63"/>
      <c r="C95" s="63">
        <v>9208.0</v>
      </c>
      <c r="D95" s="64">
        <v>12757.0</v>
      </c>
      <c r="E95" s="64">
        <v>19621.0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ht="14.25" customHeight="1">
      <c r="A96" s="59" t="s">
        <v>89</v>
      </c>
      <c r="B96" s="63"/>
      <c r="C96" s="63">
        <v>-2582.0</v>
      </c>
      <c r="D96" s="64">
        <v>-14306.0</v>
      </c>
      <c r="E96" s="64">
        <v>16966.0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ht="14.25" customHeight="1">
      <c r="A97" s="57" t="s">
        <v>90</v>
      </c>
      <c r="B97" s="65"/>
      <c r="C97" s="65">
        <v>-554.0</v>
      </c>
      <c r="D97" s="66">
        <v>-310.0</v>
      </c>
      <c r="E97" s="64">
        <v>-8148.0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ht="14.25" customHeight="1">
      <c r="A98" s="59" t="s">
        <v>91</v>
      </c>
      <c r="B98" s="18"/>
      <c r="C98" s="18"/>
      <c r="D98" s="62"/>
      <c r="E98" s="62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ht="14.25" customHeight="1">
      <c r="A99" s="59" t="s">
        <v>49</v>
      </c>
      <c r="B99" s="63"/>
      <c r="C99" s="63">
        <v>-2849.0</v>
      </c>
      <c r="D99" s="64">
        <v>-9487.0</v>
      </c>
      <c r="E99" s="64">
        <v>-2592.0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ht="14.25" customHeight="1">
      <c r="A100" s="59" t="s">
        <v>50</v>
      </c>
      <c r="B100" s="63"/>
      <c r="C100" s="63">
        <v>-8169.0</v>
      </c>
      <c r="D100" s="64">
        <v>-18163.0</v>
      </c>
      <c r="E100" s="64">
        <v>-21897.0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ht="14.25" customHeight="1">
      <c r="A101" s="59" t="s">
        <v>60</v>
      </c>
      <c r="B101" s="63"/>
      <c r="C101" s="63">
        <v>17480.0</v>
      </c>
      <c r="D101" s="64">
        <v>3602.0</v>
      </c>
      <c r="E101" s="64">
        <v>2945.0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ht="14.25" customHeight="1">
      <c r="A102" s="59" t="s">
        <v>61</v>
      </c>
      <c r="B102" s="63"/>
      <c r="C102" s="63">
        <v>5754.0</v>
      </c>
      <c r="D102" s="64">
        <v>2123.0</v>
      </c>
      <c r="E102" s="64">
        <v>-1558.0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ht="14.25" customHeight="1">
      <c r="A103" s="59" t="s">
        <v>62</v>
      </c>
      <c r="B103" s="63"/>
      <c r="C103" s="63">
        <v>1265.0</v>
      </c>
      <c r="D103" s="64">
        <v>2314.0</v>
      </c>
      <c r="E103" s="64">
        <v>2216.0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ht="14.25" customHeight="1">
      <c r="A104" s="59" t="s">
        <v>92</v>
      </c>
      <c r="B104" s="63"/>
      <c r="C104" s="63">
        <v>66064.0</v>
      </c>
      <c r="D104" s="64">
        <v>46327.0</v>
      </c>
      <c r="E104" s="64">
        <v>46752.0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ht="14.25" customHeight="1">
      <c r="A105" s="59" t="s">
        <v>93</v>
      </c>
      <c r="B105" s="18"/>
      <c r="C105" s="18"/>
      <c r="D105" s="62"/>
      <c r="E105" s="62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ht="14.25" customHeight="1">
      <c r="A106" s="59" t="s">
        <v>94</v>
      </c>
      <c r="B106" s="63"/>
      <c r="C106" s="63">
        <v>-40140.0</v>
      </c>
      <c r="D106" s="64">
        <v>-61053.0</v>
      </c>
      <c r="E106" s="64">
        <v>-63645.0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ht="14.25" customHeight="1">
      <c r="A107" s="59" t="s">
        <v>95</v>
      </c>
      <c r="B107" s="63"/>
      <c r="C107" s="63">
        <v>5096.0</v>
      </c>
      <c r="D107" s="64">
        <v>5657.0</v>
      </c>
      <c r="E107" s="64">
        <v>5324.0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ht="14.25" customHeight="1">
      <c r="A108" s="59" t="s">
        <v>96</v>
      </c>
      <c r="B108" s="63"/>
      <c r="C108" s="63">
        <v>-2325.0</v>
      </c>
      <c r="D108" s="64">
        <v>-1985.0</v>
      </c>
      <c r="E108" s="64">
        <v>-8316.0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ht="14.25" customHeight="1">
      <c r="A109" s="59" t="s">
        <v>97</v>
      </c>
      <c r="B109" s="63"/>
      <c r="C109" s="63">
        <v>50237.0</v>
      </c>
      <c r="D109" s="64">
        <v>59384.0</v>
      </c>
      <c r="E109" s="64">
        <v>31601.0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ht="14.25" customHeight="1">
      <c r="A110" s="59" t="s">
        <v>98</v>
      </c>
      <c r="B110" s="63"/>
      <c r="C110" s="63">
        <v>-72479.0</v>
      </c>
      <c r="D110" s="64">
        <v>-60157.0</v>
      </c>
      <c r="E110" s="64">
        <v>-2565.0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ht="14.25" customHeight="1">
      <c r="A111" s="59" t="s">
        <v>99</v>
      </c>
      <c r="B111" s="63"/>
      <c r="C111" s="63">
        <v>-59611.0</v>
      </c>
      <c r="D111" s="64">
        <v>-58154.0</v>
      </c>
      <c r="E111" s="64">
        <v>-37601.0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ht="14.25" customHeight="1">
      <c r="A112" s="59" t="s">
        <v>100</v>
      </c>
      <c r="B112" s="18"/>
      <c r="C112" s="18"/>
      <c r="D112" s="62"/>
      <c r="E112" s="6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ht="14.25" customHeight="1">
      <c r="A113" s="59" t="s">
        <v>101</v>
      </c>
      <c r="B113" s="67"/>
      <c r="C113" s="67" t="s">
        <v>71</v>
      </c>
      <c r="D113" s="68" t="s">
        <v>71</v>
      </c>
      <c r="E113" s="64">
        <v>-6000.0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ht="14.25" customHeight="1">
      <c r="A114" s="59" t="s">
        <v>102</v>
      </c>
      <c r="B114" s="63"/>
      <c r="C114" s="63">
        <v>6796.0</v>
      </c>
      <c r="D114" s="64">
        <v>7956.0</v>
      </c>
      <c r="E114" s="64">
        <v>41553.0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ht="14.25" customHeight="1">
      <c r="A115" s="59" t="s">
        <v>103</v>
      </c>
      <c r="B115" s="63"/>
      <c r="C115" s="63">
        <v>-6177.0</v>
      </c>
      <c r="D115" s="64">
        <v>-7753.0</v>
      </c>
      <c r="E115" s="64">
        <v>-37554.0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ht="14.25" customHeight="1">
      <c r="A116" s="59" t="s">
        <v>104</v>
      </c>
      <c r="B116" s="63"/>
      <c r="C116" s="63">
        <v>10525.0</v>
      </c>
      <c r="D116" s="64">
        <v>19003.0</v>
      </c>
      <c r="E116" s="64">
        <v>21166.0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ht="14.25" customHeight="1">
      <c r="A117" s="59" t="s">
        <v>105</v>
      </c>
      <c r="B117" s="63"/>
      <c r="C117" s="63">
        <v>-1553.0</v>
      </c>
      <c r="D117" s="64">
        <v>-1590.0</v>
      </c>
      <c r="E117" s="64">
        <v>-1258.0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ht="14.25" customHeight="1">
      <c r="A118" s="59" t="s">
        <v>106</v>
      </c>
      <c r="B118" s="63"/>
      <c r="C118" s="63">
        <v>-10642.0</v>
      </c>
      <c r="D118" s="64">
        <v>-11163.0</v>
      </c>
      <c r="E118" s="64">
        <v>-7941.0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ht="14.25" customHeight="1">
      <c r="A119" s="59" t="s">
        <v>107</v>
      </c>
      <c r="B119" s="65"/>
      <c r="C119" s="65">
        <v>-53.0</v>
      </c>
      <c r="D119" s="66">
        <v>-162.0</v>
      </c>
      <c r="E119" s="66">
        <v>-248.0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ht="14.25" customHeight="1">
      <c r="A120" s="59" t="s">
        <v>108</v>
      </c>
      <c r="B120" s="63"/>
      <c r="C120" s="63">
        <v>-1104.0</v>
      </c>
      <c r="D120" s="64">
        <v>6291.0</v>
      </c>
      <c r="E120" s="64">
        <v>9718.0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ht="14.25" customHeight="1">
      <c r="A121" s="59" t="s">
        <v>109</v>
      </c>
      <c r="B121" s="65"/>
      <c r="C121" s="65">
        <v>618.0</v>
      </c>
      <c r="D121" s="66">
        <v>-364.0</v>
      </c>
      <c r="E121" s="64">
        <v>-1093.0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ht="14.25" customHeight="1">
      <c r="A122" s="59" t="s">
        <v>110</v>
      </c>
      <c r="B122" s="63"/>
      <c r="C122" s="63">
        <v>5967.0</v>
      </c>
      <c r="D122" s="64">
        <v>-5900.0</v>
      </c>
      <c r="E122" s="64">
        <v>17776.0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ht="14.25" customHeight="1">
      <c r="A123" s="59" t="s">
        <v>111</v>
      </c>
      <c r="B123" s="60"/>
      <c r="C123" s="60">
        <v>42377.0</v>
      </c>
      <c r="D123" s="61">
        <v>36477.0</v>
      </c>
      <c r="E123" s="61">
        <v>54253.0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ht="14.25" customHeight="1">
      <c r="A124" s="35"/>
      <c r="B124" s="43"/>
      <c r="C124" s="43"/>
      <c r="D124" s="43"/>
      <c r="E124" s="4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ht="14.25" customHeight="1">
      <c r="A125" s="29"/>
      <c r="B125" s="52"/>
      <c r="C125" s="52"/>
      <c r="D125" s="52"/>
      <c r="E125" s="52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ht="14.25" customHeight="1">
      <c r="A126" s="29"/>
      <c r="B126" s="52"/>
      <c r="C126" s="52"/>
      <c r="D126" s="52"/>
      <c r="E126" s="52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ht="14.25" customHeight="1">
      <c r="A127" s="56"/>
      <c r="B127" s="51"/>
      <c r="C127" s="51"/>
      <c r="D127" s="51"/>
      <c r="E127" s="5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ht="14.25" customHeight="1">
      <c r="A128" s="9"/>
      <c r="B128" s="43"/>
      <c r="C128" s="43"/>
      <c r="D128" s="43"/>
      <c r="E128" s="4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ht="14.25" customHeight="1">
      <c r="A129" s="9"/>
      <c r="B129" s="43"/>
      <c r="C129" s="43"/>
      <c r="D129" s="43"/>
      <c r="E129" s="4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ht="14.25" customHeight="1">
      <c r="A130" s="9"/>
      <c r="B130" s="43"/>
      <c r="C130" s="43"/>
      <c r="D130" s="43"/>
      <c r="E130" s="4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ht="14.25" customHeight="1">
      <c r="A131" s="9"/>
      <c r="B131" s="43"/>
      <c r="C131" s="43"/>
      <c r="D131" s="43"/>
      <c r="E131" s="4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ht="14.2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ht="14.2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ht="14.2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ht="14.2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ht="14.2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 ht="14.2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 ht="14.2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 ht="14.2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 ht="14.2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 ht="14.2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 ht="14.2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 ht="14.2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 ht="14.2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 ht="14.2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</sheetData>
  <mergeCells count="4">
    <mergeCell ref="A2:E2"/>
    <mergeCell ref="A40:E40"/>
    <mergeCell ref="A85:E85"/>
    <mergeCell ref="C86:E8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4.86"/>
    <col customWidth="1" min="3" max="3" width="8.71"/>
    <col customWidth="1" min="4" max="4" width="11.14"/>
    <col customWidth="1" min="5" max="26" width="8.71"/>
  </cols>
  <sheetData>
    <row r="1" ht="60.0" customHeight="1">
      <c r="A1" s="69"/>
      <c r="B1" s="70" t="s">
        <v>12</v>
      </c>
      <c r="C1" s="71"/>
      <c r="D1" s="8" t="s">
        <v>13</v>
      </c>
      <c r="E1" s="71"/>
      <c r="F1" s="71"/>
      <c r="G1" s="71"/>
      <c r="H1" s="71"/>
      <c r="I1" s="71"/>
      <c r="J1" s="71"/>
    </row>
    <row r="2" ht="14.25" customHeight="1">
      <c r="C2" s="38" t="s">
        <v>112</v>
      </c>
    </row>
    <row r="3" ht="14.25" customHeight="1">
      <c r="C3" s="72">
        <v>2020.0</v>
      </c>
      <c r="D3" s="72">
        <v>2021.0</v>
      </c>
      <c r="E3" s="72">
        <v>2022.0</v>
      </c>
    </row>
    <row r="4" ht="14.25" customHeight="1">
      <c r="A4" s="73">
        <v>1.0</v>
      </c>
      <c r="B4" s="74" t="s">
        <v>113</v>
      </c>
      <c r="C4" s="75"/>
      <c r="D4" s="75"/>
      <c r="E4" s="75"/>
    </row>
    <row r="5" ht="14.25" customHeight="1">
      <c r="A5" s="73">
        <f t="shared" ref="A5:A13" si="1">+A4+0.1</f>
        <v>1.1</v>
      </c>
      <c r="B5" s="76" t="s">
        <v>114</v>
      </c>
      <c r="C5" s="75">
        <f>'Financial Statements'!B51/'Financial Statements'!B64</f>
        <v>1.05022748</v>
      </c>
      <c r="D5" s="77">
        <f>'Financial Statements'!C51/'Financial Statements'!C64</f>
        <v>1.135759774</v>
      </c>
      <c r="E5" s="77">
        <f>'Financial Statements'!D51/'Financial Statements'!D64</f>
        <v>0.9446435811</v>
      </c>
      <c r="F5" s="78"/>
    </row>
    <row r="6" ht="14.25" customHeight="1">
      <c r="A6" s="73">
        <f t="shared" si="1"/>
        <v>1.2</v>
      </c>
      <c r="B6" s="76" t="s">
        <v>115</v>
      </c>
      <c r="C6" s="75">
        <f>('Financial Statements'!B51-'Financial Statements'!B49)/'Financial Statements'!B64</f>
        <v>0.8619535546</v>
      </c>
      <c r="D6" s="77">
        <f>('Financial Statements'!C51-'Financial Statements'!C49)/'Financial Statements'!C64</f>
        <v>0.9063303952</v>
      </c>
      <c r="E6" s="77">
        <f>('Financial Statements'!D51-'Financial Statements'!D49)/'Financial Statements'!D64</f>
        <v>0.7232372115</v>
      </c>
      <c r="F6" s="78"/>
    </row>
    <row r="7" ht="14.25" customHeight="1">
      <c r="A7" s="73">
        <f t="shared" si="1"/>
        <v>1.3</v>
      </c>
      <c r="B7" s="76" t="s">
        <v>116</v>
      </c>
      <c r="C7" s="75">
        <f>SUM('Financial Statements'!B47:B48)/'Financial Statements'!B64</f>
        <v>0.6677691182</v>
      </c>
      <c r="D7" s="77">
        <f>SUM('Financial Statements'!C47:C48)/'Financial Statements'!C64</f>
        <v>0.6751367157</v>
      </c>
      <c r="E7" s="77">
        <f>SUM('Financial Statements'!D47:D48)/'Financial Statements'!D64</f>
        <v>0.4506380596</v>
      </c>
      <c r="F7" s="78"/>
    </row>
    <row r="8" ht="14.25" customHeight="1">
      <c r="A8" s="73">
        <f t="shared" si="1"/>
        <v>1.4</v>
      </c>
      <c r="B8" s="76" t="s">
        <v>117</v>
      </c>
      <c r="C8" s="75">
        <f>('Financial Statements'!B47+'Financial Statements'!B48+'Financial Statements'!B50)/C15</f>
        <v>306.198848</v>
      </c>
      <c r="D8" s="77">
        <f>('Financial Statements'!C47+'Financial Statements'!C48+'Financial Statements'!C50)/D15</f>
        <v>272.6730746</v>
      </c>
      <c r="E8" s="77">
        <f>('Financial Statements'!D47+'Financial Statements'!D48+'Financial Statements'!D50)/E15</f>
        <v>192.6731766</v>
      </c>
      <c r="F8" s="78"/>
    </row>
    <row r="9" ht="14.25" customHeight="1">
      <c r="A9" s="73">
        <f t="shared" si="1"/>
        <v>1.5</v>
      </c>
      <c r="B9" s="76" t="s">
        <v>118</v>
      </c>
      <c r="C9" s="75">
        <f>365*('Financial Statements'!B49/'Financial Statements'!C12)</f>
        <v>37.22637983</v>
      </c>
      <c r="D9" s="77">
        <f>365*('Financial Statements'!C49/'Financial Statements'!D12)</f>
        <v>43.74467585</v>
      </c>
      <c r="E9" s="77">
        <f>365*('Financial Statements'!D49/'Financial Statements'!E12)</f>
        <v>43.47810657</v>
      </c>
      <c r="F9" s="78"/>
    </row>
    <row r="10" ht="14.25" customHeight="1">
      <c r="A10" s="73">
        <f t="shared" si="1"/>
        <v>1.6</v>
      </c>
      <c r="B10" s="76" t="s">
        <v>119</v>
      </c>
      <c r="C10" s="75">
        <f>('Financial Statements'!B61/'Financial Statements'!C12)*365</f>
        <v>113.484529</v>
      </c>
      <c r="D10" s="77">
        <f>('Financial Statements'!C61/'Financial Statements'!D12)*365</f>
        <v>105.4268131</v>
      </c>
      <c r="E10" s="77">
        <f>('Financial Statements'!D61/'Financial Statements'!E12)*365</f>
        <v>100.5916955</v>
      </c>
      <c r="F10" s="78"/>
    </row>
    <row r="11" ht="14.25" customHeight="1">
      <c r="A11" s="73">
        <f t="shared" si="1"/>
        <v>1.7</v>
      </c>
      <c r="B11" s="76" t="s">
        <v>120</v>
      </c>
      <c r="C11" s="75">
        <f>365*('Financial Statements'!B50/'Financial Statements'!C10)</f>
        <v>23.20296635</v>
      </c>
      <c r="D11" s="77">
        <f>365*('Financial Statements'!C50/'Financial Statements'!D10)</f>
        <v>25.55268804</v>
      </c>
      <c r="E11" s="77">
        <f>365*('Financial Statements'!D50/'Financial Statements'!E10)</f>
        <v>30.08153966</v>
      </c>
      <c r="F11" s="78"/>
    </row>
    <row r="12" ht="14.25" customHeight="1">
      <c r="A12" s="73">
        <f t="shared" si="1"/>
        <v>1.8</v>
      </c>
      <c r="B12" s="76" t="s">
        <v>121</v>
      </c>
      <c r="C12" s="75">
        <f t="shared" ref="C12:E12" si="2">C10-C9+C11</f>
        <v>99.46111548</v>
      </c>
      <c r="D12" s="77">
        <f t="shared" si="2"/>
        <v>87.23482534</v>
      </c>
      <c r="E12" s="77">
        <f t="shared" si="2"/>
        <v>87.19512858</v>
      </c>
    </row>
    <row r="13" ht="14.25" customHeight="1">
      <c r="A13" s="73">
        <f t="shared" si="1"/>
        <v>1.9</v>
      </c>
      <c r="B13" s="76" t="s">
        <v>122</v>
      </c>
      <c r="C13" s="79">
        <f>('Financial Statements'!B51-'Financial Statements'!B64)/'Financial Statements'!C10</f>
        <v>0.01644286958</v>
      </c>
      <c r="D13" s="79">
        <f>('Financial Statements'!C51-'Financial Statements'!C64)/'Financial Statements'!D10</f>
        <v>0.04110918603</v>
      </c>
      <c r="E13" s="79">
        <f>('Financial Statements'!D51-'Financial Statements'!D64)/'Financial Statements'!E10</f>
        <v>-0.01673596208</v>
      </c>
    </row>
    <row r="14" ht="14.25" customHeight="1">
      <c r="A14" s="73"/>
      <c r="B14" s="76" t="s">
        <v>123</v>
      </c>
      <c r="C14" s="80">
        <f>'Financial Statements'!B51-'Financial Statements'!B64</f>
        <v>6348</v>
      </c>
      <c r="D14" s="77">
        <f>'Financial Statements'!C51-'Financial Statements'!C64</f>
        <v>19314</v>
      </c>
      <c r="E14" s="77">
        <f>'Financial Statements'!D51-'Financial Statements'!D64</f>
        <v>-8602</v>
      </c>
    </row>
    <row r="15" ht="14.25" customHeight="1">
      <c r="A15" s="73"/>
      <c r="B15" s="81" t="s">
        <v>124</v>
      </c>
      <c r="C15" s="75">
        <f>sum('Financial Statements'!C15:C19)/365</f>
        <v>355.7753425</v>
      </c>
      <c r="D15" s="77">
        <f>sum('Financial Statements'!D15:D19)/365</f>
        <v>472.8739726</v>
      </c>
      <c r="E15" s="77">
        <f>sum('Financial Statements'!E15:E19)/365</f>
        <v>583.2986301</v>
      </c>
    </row>
    <row r="16" ht="14.25" customHeight="1">
      <c r="A16" s="73"/>
      <c r="B16" s="82"/>
      <c r="C16" s="75"/>
      <c r="D16" s="77"/>
      <c r="E16" s="77"/>
    </row>
    <row r="17" ht="14.25" customHeight="1">
      <c r="A17" s="73">
        <f>+A4+1</f>
        <v>2</v>
      </c>
      <c r="B17" s="82" t="s">
        <v>125</v>
      </c>
      <c r="C17" s="75"/>
      <c r="D17" s="77"/>
      <c r="E17" s="77"/>
    </row>
    <row r="18" ht="14.25" customHeight="1">
      <c r="A18" s="73">
        <f t="shared" ref="A18:A19" si="3">+A17+0.1</f>
        <v>2.1</v>
      </c>
      <c r="B18" s="76" t="s">
        <v>22</v>
      </c>
      <c r="C18" s="75">
        <f>'Financial Statements'!C13/'Financial Statements'!C10</f>
        <v>0.3956779187</v>
      </c>
      <c r="D18" s="77">
        <f>'Financial Statements'!D13/'Financial Statements'!D10</f>
        <v>0.4203251444</v>
      </c>
      <c r="E18" s="77">
        <f>'Financial Statements'!E13/'Financial Statements'!E10</f>
        <v>0.4380533987</v>
      </c>
    </row>
    <row r="19" ht="14.25" customHeight="1">
      <c r="A19" s="73">
        <f t="shared" si="3"/>
        <v>2.2</v>
      </c>
      <c r="B19" s="76" t="s">
        <v>126</v>
      </c>
      <c r="C19" s="75">
        <f>C20/'Financial Statements'!C10</f>
        <v>0.1012759542</v>
      </c>
      <c r="D19" s="77">
        <f>D20/'Financial Statements'!D10</f>
        <v>0.1016959614</v>
      </c>
      <c r="E19" s="77">
        <f>E20/'Financial Statements'!E10</f>
        <v>0.07227476395</v>
      </c>
    </row>
    <row r="20" ht="14.25" customHeight="1">
      <c r="A20" s="73"/>
      <c r="B20" s="76" t="s">
        <v>127</v>
      </c>
      <c r="C20" s="80">
        <f>'Financial Statements'!C21+16200</f>
        <v>39099</v>
      </c>
      <c r="D20" s="77">
        <f>'Financial Statements'!D21+22900</f>
        <v>47779</v>
      </c>
      <c r="E20" s="77">
        <f>'Financial Statements'!E21+24900</f>
        <v>37148</v>
      </c>
    </row>
    <row r="21" ht="14.25" customHeight="1">
      <c r="A21" s="73">
        <f>+A19+0.1</f>
        <v>2.3</v>
      </c>
      <c r="B21" s="76" t="s">
        <v>128</v>
      </c>
      <c r="C21" s="75">
        <f>C22/'Financial Statements'!C10</f>
        <v>0.05931399975</v>
      </c>
      <c r="D21" s="77">
        <f>D22/'Financial Statements'!D10</f>
        <v>0.05295409751</v>
      </c>
      <c r="E21" s="77">
        <f>E22/'Financial Statements'!E10</f>
        <v>0.02382958191</v>
      </c>
    </row>
    <row r="22" ht="14.25" customHeight="1">
      <c r="A22" s="73"/>
      <c r="B22" s="76" t="s">
        <v>129</v>
      </c>
      <c r="C22" s="80">
        <f>'Financial Statements'!C21</f>
        <v>22899</v>
      </c>
      <c r="D22" s="77">
        <f>'Financial Statements'!D21</f>
        <v>24879</v>
      </c>
      <c r="E22" s="77">
        <f>'Financial Statements'!E21</f>
        <v>12248</v>
      </c>
    </row>
    <row r="23" ht="14.25" customHeight="1">
      <c r="A23" s="73">
        <f>+A21+0.1</f>
        <v>2.4</v>
      </c>
      <c r="B23" s="76" t="s">
        <v>130</v>
      </c>
      <c r="C23" s="75">
        <f>'Financial Statements'!C30/'Financial Statements'!C10</f>
        <v>0.055252497</v>
      </c>
      <c r="D23" s="77">
        <f>'Financial Statements'!D30/'Financial Statements'!D10</f>
        <v>0.07101412876</v>
      </c>
      <c r="E23" s="77">
        <f>'Financial Statements'!E30/'Financial Statements'!E10</f>
        <v>-0.005295895</v>
      </c>
    </row>
    <row r="24" ht="14.25" customHeight="1">
      <c r="A24" s="73"/>
      <c r="B24" s="75"/>
      <c r="C24" s="75"/>
      <c r="D24" s="77"/>
      <c r="E24" s="77"/>
    </row>
    <row r="25" ht="14.25" customHeight="1">
      <c r="A25" s="73"/>
      <c r="B25" s="83" t="s">
        <v>131</v>
      </c>
      <c r="C25" s="75"/>
      <c r="D25" s="77"/>
      <c r="E25" s="77"/>
    </row>
    <row r="26" ht="14.25" customHeight="1">
      <c r="A26" s="73"/>
      <c r="B26" s="83" t="s">
        <v>132</v>
      </c>
      <c r="C26" s="75"/>
      <c r="D26" s="77"/>
      <c r="E26" s="77"/>
    </row>
    <row r="27" ht="14.25" customHeight="1">
      <c r="A27" s="73"/>
      <c r="B27" s="83" t="s">
        <v>133</v>
      </c>
      <c r="C27" s="75"/>
      <c r="D27" s="77"/>
      <c r="E27" s="77"/>
    </row>
    <row r="28" ht="14.25" customHeight="1">
      <c r="A28" s="73">
        <f>+A17+1</f>
        <v>3</v>
      </c>
      <c r="B28" s="74" t="s">
        <v>134</v>
      </c>
      <c r="C28" s="75"/>
      <c r="D28" s="77"/>
      <c r="E28" s="77"/>
    </row>
    <row r="29" ht="14.25" customHeight="1">
      <c r="A29" s="73">
        <f t="shared" ref="A29:A34" si="4">+A28+0.1</f>
        <v>3.1</v>
      </c>
      <c r="B29" s="76" t="s">
        <v>135</v>
      </c>
      <c r="C29" s="75">
        <f>('Financial Statements'!B64+'Financial Statements'!B69)/'Financial Statements'!B79</f>
        <v>2.438771359</v>
      </c>
      <c r="D29" s="77">
        <f>('Financial Statements'!C64+'Financial Statements'!C69)/'Financial Statements'!C79</f>
        <v>2.042055771</v>
      </c>
      <c r="E29" s="77">
        <f>('Financial Statements'!D64+'Financial Statements'!D69)/'Financial Statements'!D79</f>
        <v>2.168073786</v>
      </c>
    </row>
    <row r="30" ht="14.25" customHeight="1">
      <c r="A30" s="73">
        <f t="shared" si="4"/>
        <v>3.2</v>
      </c>
      <c r="B30" s="76" t="s">
        <v>136</v>
      </c>
      <c r="C30" s="75">
        <f>('Financial Statements'!B64+'Financial Statements'!B69)/'Financial Statements'!B81</f>
        <v>0.709198462</v>
      </c>
      <c r="D30" s="77">
        <f>('Financial Statements'!C64+'Financial Statements'!C69)/'Financial Statements'!C81</f>
        <v>0.6712749287</v>
      </c>
      <c r="E30" s="77">
        <f>('Financial Statements'!D64+'Financial Statements'!D69)/'Financial Statements'!D81</f>
        <v>0.6843507862</v>
      </c>
    </row>
    <row r="31" ht="14.25" customHeight="1">
      <c r="A31" s="73">
        <f t="shared" si="4"/>
        <v>3.3</v>
      </c>
      <c r="B31" s="76" t="s">
        <v>137</v>
      </c>
      <c r="C31" s="75">
        <f>'Financial Statements'!B69/'Financial Statements'!B81</f>
        <v>0.3157147527</v>
      </c>
      <c r="D31" s="77">
        <f>'Financial Statements'!C69/'Financial Statements'!C81</f>
        <v>0.3329885459</v>
      </c>
      <c r="E31" s="77">
        <f>'Financial Statements'!D69/'Financial Statements'!D81</f>
        <v>0.3484930026</v>
      </c>
    </row>
    <row r="32" ht="14.25" customHeight="1">
      <c r="A32" s="73">
        <f t="shared" si="4"/>
        <v>3.4</v>
      </c>
      <c r="B32" s="76" t="s">
        <v>138</v>
      </c>
      <c r="C32" s="75">
        <f>-C20/'Financial Statements'!C24</f>
        <v>23.73952641</v>
      </c>
      <c r="D32" s="77">
        <f>-D20/'Financial Statements'!D24</f>
        <v>26.41182974</v>
      </c>
      <c r="E32" s="77">
        <f>-E20/'Financial Statements'!E24</f>
        <v>15.69412759</v>
      </c>
    </row>
    <row r="33" ht="14.25" customHeight="1">
      <c r="A33" s="73">
        <f t="shared" si="4"/>
        <v>3.5</v>
      </c>
      <c r="B33" s="76" t="s">
        <v>139</v>
      </c>
      <c r="C33" s="75">
        <f>'Financial Statements'!C30/C36</f>
        <v>1.062724193</v>
      </c>
      <c r="D33" s="77">
        <f>'Financial Statements'!D30/D36</f>
        <v>1.484361792</v>
      </c>
      <c r="E33" s="77">
        <f>'Financial Statements'!E30/E36</f>
        <v>-0.05513693081</v>
      </c>
    </row>
    <row r="34" ht="14.25" customHeight="1">
      <c r="A34" s="73">
        <f t="shared" si="4"/>
        <v>3.6</v>
      </c>
      <c r="B34" s="76" t="s">
        <v>140</v>
      </c>
      <c r="C34" s="75">
        <f>C35/'Financial Statements'!C35</f>
        <v>3.041772897</v>
      </c>
      <c r="D34" s="75">
        <f>D35/'Financial Statements'!D35</f>
        <v>-0.8808275058</v>
      </c>
      <c r="E34" s="75">
        <f>E35/'Financial Statements'!E35</f>
        <v>-1.135440181</v>
      </c>
    </row>
    <row r="35" ht="14.25" customHeight="1">
      <c r="A35" s="73"/>
      <c r="B35" s="76" t="s">
        <v>141</v>
      </c>
      <c r="C35" s="80">
        <f>'Financial Statements'!C104+'Financial Statements'!C106+'Financial Statements'!C107</f>
        <v>31020</v>
      </c>
      <c r="D35" s="77">
        <f>'Financial Statements'!D104+'Financial Statements'!D106+'Financial Statements'!D107</f>
        <v>-9069</v>
      </c>
      <c r="E35" s="77">
        <f>'Financial Statements'!E104+'Financial Statements'!E106+'Financial Statements'!E107</f>
        <v>-11569</v>
      </c>
    </row>
    <row r="36" ht="14.25" customHeight="1">
      <c r="A36" s="73"/>
      <c r="B36" s="81" t="s">
        <v>142</v>
      </c>
      <c r="C36" s="80">
        <f>(-'Financial Statements'!C24-'Financial Statements'!C115-'Financial Statements'!C117-'Financial Statements'!C118-'Financial Statements'!C119)</f>
        <v>20072</v>
      </c>
      <c r="D36" s="77">
        <f>(-'Financial Statements'!D24-'Financial Statements'!D115-'Financial Statements'!D117-'Financial Statements'!D118-'Financial Statements'!D119)</f>
        <v>22477</v>
      </c>
      <c r="E36" s="77">
        <f>(-'Financial Statements'!E24-'Financial Statements'!E115-'Financial Statements'!E117-'Financial Statements'!E118-'Financial Statements'!E119)</f>
        <v>49368</v>
      </c>
    </row>
    <row r="37" ht="14.25" customHeight="1">
      <c r="A37" s="73"/>
      <c r="B37" s="75"/>
      <c r="C37" s="75"/>
      <c r="D37" s="77"/>
      <c r="E37" s="77"/>
    </row>
    <row r="38" ht="14.25" customHeight="1">
      <c r="A38" s="73">
        <f>+A28+1</f>
        <v>4</v>
      </c>
      <c r="B38" s="82" t="s">
        <v>143</v>
      </c>
      <c r="C38" s="75"/>
      <c r="D38" s="77"/>
      <c r="E38" s="77"/>
    </row>
    <row r="39" ht="14.25" customHeight="1">
      <c r="A39" s="73">
        <f t="shared" ref="A39:A42" si="5">+A38+0.1</f>
        <v>4.1</v>
      </c>
      <c r="B39" s="76" t="s">
        <v>144</v>
      </c>
      <c r="C39" s="75">
        <f>'Financial Statements'!C10/(0.5*('Financial Statements'!B58+'Financial Statements'!D58))</f>
        <v>0.9850204753</v>
      </c>
      <c r="D39" s="77">
        <f>'Financial Statements'!D10/(0.5*('Financial Statements'!C58+'Financial Statements'!E58))</f>
        <v>1.455014501</v>
      </c>
      <c r="E39" s="77">
        <f>'Financial Statements'!E10/AVERAGE('Financial Statements'!C58:D58)</f>
        <v>1.163879152</v>
      </c>
    </row>
    <row r="40" ht="14.25" customHeight="1">
      <c r="A40" s="73">
        <f t="shared" si="5"/>
        <v>4.2</v>
      </c>
      <c r="B40" s="76" t="s">
        <v>145</v>
      </c>
      <c r="C40" s="75">
        <f>'Financial Statements'!C10/(0.5*('Financial Statements'!B57+'Financial Statements'!D57))</f>
        <v>1.530948991</v>
      </c>
      <c r="D40" s="77">
        <f>'Financial Statements'!D10/(0.5*('Financial Statements'!C57+'Financial Statements'!E57))</f>
        <v>2.422493381</v>
      </c>
      <c r="E40" s="84">
        <f>'Financial Statements'!E10/AVERAGE('Financial Statements'!C57:D57)</f>
        <v>1.78822412</v>
      </c>
    </row>
    <row r="41" ht="14.25" customHeight="1">
      <c r="A41" s="73">
        <f t="shared" si="5"/>
        <v>4.3</v>
      </c>
      <c r="B41" s="76" t="s">
        <v>146</v>
      </c>
      <c r="C41" s="75">
        <f>'Financial Statements'!C12/(0.5*('Financial Statements'!B49+'Financial Statements'!D49))</f>
        <v>8.01742268</v>
      </c>
      <c r="D41" s="77">
        <f>'Financial Statements'!D12/(0.5*('Financial Statements'!C49+'Financial Statements'!E49))</f>
        <v>10.25063515</v>
      </c>
      <c r="E41" s="77">
        <f>'Financial Statements'!E12/AVERAGE('Financial Statements'!C49:D49)</f>
        <v>8.616034007</v>
      </c>
      <c r="G41" s="85"/>
    </row>
    <row r="42" ht="14.25" customHeight="1">
      <c r="A42" s="73">
        <f t="shared" si="5"/>
        <v>4.4</v>
      </c>
      <c r="B42" s="76" t="s">
        <v>147</v>
      </c>
      <c r="C42" s="75">
        <f>'Financial Statements'!C30/(0.5*('Financial Statements'!B58+'Financial Statements'!D58))</f>
        <v>0.05442484085</v>
      </c>
      <c r="D42" s="77">
        <f>'Financial Statements'!D30/(0.5*('Financial Statements'!C58+'Financial Statements'!E58))</f>
        <v>0.1033265871</v>
      </c>
      <c r="E42" s="77">
        <f>'Financial Statements'!E30/AVERAGE('Financial Statements'!C58:D58)</f>
        <v>-0.006163781781</v>
      </c>
    </row>
    <row r="43" ht="14.25" customHeight="1">
      <c r="A43" s="73"/>
      <c r="B43" s="75"/>
      <c r="C43" s="75"/>
      <c r="D43" s="77"/>
      <c r="E43" s="77"/>
    </row>
    <row r="44" ht="14.25" customHeight="1">
      <c r="A44" s="73">
        <f>+A38+1</f>
        <v>5</v>
      </c>
      <c r="B44" s="82" t="s">
        <v>148</v>
      </c>
      <c r="C44" s="75"/>
      <c r="D44" s="77"/>
      <c r="E44" s="77"/>
    </row>
    <row r="45" ht="14.25" customHeight="1">
      <c r="A45" s="73">
        <f t="shared" ref="A45:A49" si="7">+A44+0.1</f>
        <v>5.1</v>
      </c>
      <c r="B45" s="86" t="s">
        <v>149</v>
      </c>
      <c r="C45" s="75">
        <f t="shared" ref="C45:E45" si="6">C57/C46</f>
        <v>77.85590455</v>
      </c>
      <c r="D45" s="77">
        <f t="shared" si="6"/>
        <v>51.44914039</v>
      </c>
      <c r="E45" s="77">
        <f t="shared" si="6"/>
        <v>-314.4290963</v>
      </c>
    </row>
    <row r="46" ht="14.25" customHeight="1">
      <c r="A46" s="73">
        <f t="shared" si="7"/>
        <v>5.2</v>
      </c>
      <c r="B46" s="76" t="s">
        <v>150</v>
      </c>
      <c r="C46" s="75">
        <f>'Financial Statements'!C30/'Financial Statements'!C35</f>
        <v>2.091684644</v>
      </c>
      <c r="D46" s="77">
        <f>'Financial Statements'!D30/'Financial Statements'!D35</f>
        <v>3.24048174</v>
      </c>
      <c r="E46" s="77">
        <f>'Financial Statements'!E30/'Financial Statements'!E35</f>
        <v>-0.267150849</v>
      </c>
    </row>
    <row r="47" ht="14.25" customHeight="1">
      <c r="A47" s="73">
        <f t="shared" si="7"/>
        <v>5.3</v>
      </c>
      <c r="B47" s="76" t="s">
        <v>151</v>
      </c>
      <c r="C47" s="75">
        <f t="shared" ref="C47:E47" si="8">C57/C48</f>
        <v>17.78022676</v>
      </c>
      <c r="D47" s="77">
        <f t="shared" si="8"/>
        <v>12.41671757</v>
      </c>
      <c r="E47" s="77">
        <f t="shared" si="8"/>
        <v>5.860438364</v>
      </c>
    </row>
    <row r="48" ht="14.25" customHeight="1">
      <c r="A48" s="73">
        <f t="shared" si="7"/>
        <v>5.4</v>
      </c>
      <c r="B48" s="76" t="s">
        <v>152</v>
      </c>
      <c r="C48" s="75">
        <f>'Financial Statements'!B79/'Financial Statements'!C35</f>
        <v>9.159050794</v>
      </c>
      <c r="D48" s="75">
        <f>'Financial Statements'!C79/'Financial Statements'!D35</f>
        <v>13.42705905</v>
      </c>
      <c r="E48" s="75">
        <f>'Financial Statements'!D79/'Financial Statements'!E35</f>
        <v>14.33339876</v>
      </c>
    </row>
    <row r="49" ht="14.25" customHeight="1">
      <c r="A49" s="73">
        <f t="shared" si="7"/>
        <v>5.5</v>
      </c>
      <c r="B49" s="76" t="s">
        <v>153</v>
      </c>
      <c r="C49" s="75">
        <v>0.0</v>
      </c>
      <c r="D49" s="84">
        <v>0.0</v>
      </c>
      <c r="E49" s="84">
        <v>0.0</v>
      </c>
    </row>
    <row r="50" ht="14.25" customHeight="1">
      <c r="A50" s="73"/>
      <c r="B50" s="76" t="s">
        <v>154</v>
      </c>
      <c r="C50" s="75">
        <v>0.0</v>
      </c>
      <c r="D50" s="84">
        <v>0.0</v>
      </c>
      <c r="E50" s="84">
        <v>0.0</v>
      </c>
    </row>
    <row r="51" ht="14.25" customHeight="1">
      <c r="A51" s="73">
        <f t="shared" ref="A51:A55" si="9">+A49+0.1</f>
        <v>5.6</v>
      </c>
      <c r="B51" s="76" t="s">
        <v>155</v>
      </c>
      <c r="C51" s="75">
        <v>0.0</v>
      </c>
      <c r="D51" s="84">
        <v>0.0</v>
      </c>
      <c r="E51" s="84">
        <v>0.0</v>
      </c>
    </row>
    <row r="52" ht="14.25" customHeight="1">
      <c r="A52" s="73">
        <f t="shared" si="9"/>
        <v>0.1</v>
      </c>
      <c r="B52" s="76" t="s">
        <v>156</v>
      </c>
      <c r="C52" s="75">
        <f>'Financial Statements'!C30/'Financial Statements'!B79</f>
        <v>0.2283735172</v>
      </c>
      <c r="D52" s="77">
        <f>'Financial Statements'!D30/'Financial Statements'!C79</f>
        <v>0.2413396506</v>
      </c>
      <c r="E52" s="77">
        <f>'Financial Statements'!E30/'Financial Statements'!D79</f>
        <v>-0.01863834624</v>
      </c>
    </row>
    <row r="53" ht="14.25" customHeight="1">
      <c r="A53" s="73">
        <f t="shared" si="9"/>
        <v>5.7</v>
      </c>
      <c r="B53" s="76" t="s">
        <v>157</v>
      </c>
      <c r="C53" s="75">
        <f>'Financial Statements'!C21/('Financial Statements'!B58-'Financial Statements'!B64)</f>
        <v>0.1175453005</v>
      </c>
      <c r="D53" s="77">
        <f>'Financial Statements'!D21/('Financial Statements'!C58-'Financial Statements'!C64)</f>
        <v>0.08940179601</v>
      </c>
      <c r="E53" s="77">
        <f>'Financial Statements'!E21/('Financial Statements'!D58-'Financial Statements'!D64)</f>
        <v>0.03985915218</v>
      </c>
    </row>
    <row r="54" ht="14.25" customHeight="1">
      <c r="A54" s="73">
        <f t="shared" si="9"/>
        <v>0.2</v>
      </c>
      <c r="B54" s="76" t="s">
        <v>147</v>
      </c>
      <c r="C54" s="75">
        <f>'Financial Statements'!C30/'Financial Statements'!B58</f>
        <v>0.06641137004</v>
      </c>
      <c r="D54" s="84">
        <f>'Financial Statements'!D30/'Financial Statements'!C58</f>
        <v>0.07933439385</v>
      </c>
      <c r="E54" s="84">
        <f>'Financial Statements'!E30/'Financial Statements'!D58</f>
        <v>-0.005883179338</v>
      </c>
    </row>
    <row r="55" ht="14.25" customHeight="1">
      <c r="A55" s="73">
        <f t="shared" si="9"/>
        <v>5.8</v>
      </c>
      <c r="B55" s="76" t="s">
        <v>158</v>
      </c>
      <c r="C55" s="75">
        <f t="shared" ref="C55:E55" si="10">C56/C20</f>
        <v>47.12825776</v>
      </c>
      <c r="D55" s="77">
        <f t="shared" si="10"/>
        <v>40.65509952</v>
      </c>
      <c r="E55" s="77">
        <f t="shared" si="10"/>
        <v>30.23236783</v>
      </c>
    </row>
    <row r="56" ht="14.25" customHeight="1">
      <c r="A56" s="73"/>
      <c r="B56" s="76" t="s">
        <v>159</v>
      </c>
      <c r="C56" s="80">
        <f>C58+'Financial Statements'!B64+'Financial Statements'!B69-'Financial Statements'!B47</f>
        <v>1842667.75</v>
      </c>
      <c r="D56" s="77">
        <f>D58+'Financial Statements'!C64+'Financial Statements'!C69-'Financial Statements'!C47</f>
        <v>1942460</v>
      </c>
      <c r="E56" s="77">
        <f>E58+'Financial Statements'!D64+'Financial Statements'!D69-'Financial Statements'!D47</f>
        <v>1123072</v>
      </c>
    </row>
    <row r="57" ht="14.25" customHeight="1">
      <c r="A57" s="75"/>
      <c r="B57" s="81" t="s">
        <v>160</v>
      </c>
      <c r="C57" s="81">
        <v>162.85</v>
      </c>
      <c r="D57" s="84">
        <f>166.72</f>
        <v>166.72</v>
      </c>
      <c r="E57" s="84">
        <v>84.0</v>
      </c>
    </row>
    <row r="58" ht="14.25" customHeight="1">
      <c r="A58" s="75"/>
      <c r="B58" s="81" t="s">
        <v>161</v>
      </c>
      <c r="C58" s="75">
        <f t="shared" ref="C58:D58" si="11">C57*10175</f>
        <v>1656998.75</v>
      </c>
      <c r="D58" s="77">
        <f t="shared" si="11"/>
        <v>1696376</v>
      </c>
      <c r="E58" s="77">
        <f>E57*10242</f>
        <v>860328</v>
      </c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1">
    <mergeCell ref="C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2020-05-19T16:15:53Z</dcterms:created>
  <dc:creator>Dell</dc:creator>
</cp:coreProperties>
</file>