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Historicals" sheetId="2" r:id="rId5"/>
    <sheet state="visible" name="Segmental forecast" sheetId="3" r:id="rId6"/>
    <sheet state="visible" name="Three Statements" sheetId="4" r:id="rId7"/>
  </sheets>
  <definedNames/>
  <calcPr/>
  <extLst>
    <ext uri="GoogleSheetsCustomDataVersion2">
      <go:sheetsCustomData xmlns:go="http://customooxmlschemas.google.com/" r:id="rId8" roundtripDataChecksum="nA2hKqtLhvQ7RRr7ObwX+RVf5tUUTH5P3dWu5iCKx5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67">
      <text>
        <t xml:space="preserve">======
ID#AAABVF2BPbM
Dell    (2024-11-21 06:56:29)
Kept as balancing figure, since the reported segmental breakdowns and the cahsflow numbers have a small difference which cannot be traced back.</t>
      </text>
    </comment>
  </commentList>
  <extLst>
    <ext uri="GoogleSheetsCustomDataVersion2">
      <go:sheetsCustomData xmlns:go="http://customooxmlschemas.google.com/" r:id="rId1" roundtripDataSignature="AMtx7mh4sWpN285of9l5yMlBg097eKxkOw=="/>
    </ext>
  </extLst>
</comments>
</file>

<file path=xl/sharedStrings.xml><?xml version="1.0" encoding="utf-8"?>
<sst xmlns="http://schemas.openxmlformats.org/spreadsheetml/2006/main" count="504" uniqueCount="226">
  <si>
    <t>Instructions</t>
  </si>
  <si>
    <t xml:space="preserve">Please link the Cash flow statement  the "Three Statements" using the data in the  "Historicals" sheet </t>
  </si>
  <si>
    <t>The exercise is to convert the sheet in the company format to the model format in order to build the forecast links</t>
  </si>
  <si>
    <t>Submission time is 2 days from the day the task was given to you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</si>
  <si>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</si>
  <si>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</si>
  <si>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</si>
  <si>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</si>
  <si>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</si>
  <si>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</si>
  <si>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</si>
  <si>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</si>
  <si>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</si>
  <si>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</si>
  <si>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</si>
  <si>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</si>
  <si>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</si>
  <si>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</si>
  <si>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</si>
  <si>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</si>
  <si>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</si>
  <si>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</si>
  <si>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</si>
  <si>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</si>
  <si>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</si>
  <si>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</si>
  <si>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</si>
  <si>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</si>
  <si>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</si>
  <si>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</si>
  <si>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</si>
  <si>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</si>
  <si>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</si>
  <si>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</si>
  <si>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</si>
  <si>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</si>
  <si>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</si>
  <si>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</si>
  <si>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</si>
  <si>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</si>
  <si>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</si>
  <si>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</si>
  <si>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</si>
  <si>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</si>
  <si>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</si>
  <si>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</si>
  <si>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</si>
  <si>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</si>
  <si>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</si>
  <si>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</si>
  <si>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</si>
  <si>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</si>
  <si>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</si>
  <si>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</si>
  <si>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</si>
  <si>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</si>
  <si>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</si>
  <si>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</si>
  <si>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</si>
  <si>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</si>
  <si>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</si>
  <si>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</si>
  <si>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</si>
  <si>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</si>
  <si>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</si>
  <si>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</si>
  <si>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</si>
  <si>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</si>
  <si>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</si>
  <si>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</si>
  <si>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</si>
  <si>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</si>
  <si>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</si>
  <si>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</si>
  <si>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</si>
  <si>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</si>
  <si>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</si>
  <si>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</si>
  <si>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</si>
  <si>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</si>
  <si>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reverse repurchase agreements</t>
  </si>
  <si>
    <t>Additions to property, plant and equipment</t>
  </si>
  <si>
    <t>Disposal of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</si>
  <si>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</si>
  <si>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</si>
  <si>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</si>
  <si>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</si>
  <si>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payments, including current portion</t>
  </si>
  <si>
    <t>Increase (decrease) in notes payable, net</t>
  </si>
  <si>
    <t>Repayment of borrowings</t>
  </si>
  <si>
    <t>Proceeds from exercise of stock options and other stock issuances</t>
  </si>
  <si>
    <t>Excess tax benefits from share-based payment arrangements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</si>
  <si>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</si>
  <si>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</si>
  <si>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</si>
  <si>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</si>
  <si>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</si>
  <si>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</si>
  <si>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</si>
  <si>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</si>
  <si>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</si>
  <si>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</si>
  <si>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</si>
  <si>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</si>
  <si>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</si>
  <si>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</si>
  <si>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</si>
  <si>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</si>
  <si>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</si>
  <si>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</si>
  <si>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</si>
  <si>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</si>
  <si>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</si>
  <si>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</si>
  <si>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</si>
  <si>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</si>
  <si>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</si>
  <si>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</si>
  <si>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</si>
  <si>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</si>
  <si>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</si>
  <si>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</si>
  <si>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</si>
  <si>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</si>
  <si>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</si>
  <si>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</si>
  <si>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</si>
  <si>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</si>
  <si>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</si>
  <si>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</si>
  <si>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</si>
  <si>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</si>
  <si>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</si>
  <si>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</si>
  <si>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</si>
  <si>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</si>
  <si>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</si>
  <si>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</si>
  <si>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</si>
  <si>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</si>
  <si>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</si>
  <si>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</si>
  <si>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</si>
  <si>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</si>
  <si>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</si>
  <si>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</si>
  <si>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</si>
  <si>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</si>
  <si>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</si>
  <si>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</si>
  <si>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 xml:space="preserve"> Revenue </t>
  </si>
  <si>
    <t xml:space="preserve"> Growth % </t>
  </si>
  <si>
    <t xml:space="preserve"> Footwear </t>
  </si>
  <si>
    <t xml:space="preserve"> Organic growth % </t>
  </si>
  <si>
    <t xml:space="preserve"> Currency impact % </t>
  </si>
  <si>
    <t xml:space="preserve"> Apparel </t>
  </si>
  <si>
    <t xml:space="preserve"> Equipment </t>
  </si>
  <si>
    <t xml:space="preserve"> EBITDA </t>
  </si>
  <si>
    <t xml:space="preserve"> Margin % </t>
  </si>
  <si>
    <t xml:space="preserve"> D&amp;A </t>
  </si>
  <si>
    <t xml:space="preserve"> As a  % of revenue </t>
  </si>
  <si>
    <t xml:space="preserve"> EBIT </t>
  </si>
  <si>
    <t xml:space="preserve"> Capex </t>
  </si>
  <si>
    <t>nm</t>
  </si>
  <si>
    <t>CORPORATE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</si>
  <si>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</si>
  <si>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</si>
  <si>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</si>
  <si>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</si>
  <si>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</si>
  <si>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</si>
  <si>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</si>
  <si>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</si>
  <si>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</si>
  <si>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</si>
  <si>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</si>
  <si>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</si>
  <si>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</si>
  <si>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</si>
  <si>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</si>
  <si>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</si>
  <si>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</si>
  <si>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</si>
  <si>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</si>
  <si>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</si>
  <si>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</si>
  <si>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</si>
  <si>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</si>
  <si>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</si>
  <si>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</si>
  <si>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</si>
  <si>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</si>
  <si>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</si>
  <si>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</si>
  <si>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</si>
  <si>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</si>
  <si>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</si>
  <si>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</si>
  <si>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</si>
  <si>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</si>
  <si>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</si>
  <si>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</si>
  <si>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</si>
  <si>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</si>
  <si>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</si>
  <si>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</si>
  <si>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</si>
  <si>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</si>
  <si>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</si>
  <si>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</si>
  <si>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</si>
  <si>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</si>
  <si>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</si>
  <si>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</si>
  <si>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</si>
  <si>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</si>
  <si>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</si>
  <si>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</si>
  <si>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</si>
  <si>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</si>
  <si>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</si>
  <si>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</si>
  <si>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</si>
  <si>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</si>
  <si>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working capital 2014</t>
  </si>
  <si>
    <t>working capital 2015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</si>
</sst>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_);_(* \(#,##0\);_(* &quot;-&quot;??_);_(@_)"/>
    <numFmt numFmtId="165" formatCode="0.0%"/>
    <numFmt numFmtId="166" formatCode="_(* #,##0.00_);_(* \(#,##0.00\);_(* &quot;-&quot;??_);_(@_)"/>
  </numFmts>
  <fonts count="19">
    <font>
      <sz val="11.0"/>
      <color theme="1"/>
      <name val="Calibri"/>
      <scheme val="minor"/>
    </font>
    <font>
      <b/>
      <sz val="18.0"/>
      <color rgb="FFFFFFFF"/>
      <name val="Calibri"/>
    </font>
    <font>
      <sz val="11.0"/>
      <color theme="1"/>
      <name val="Calibri"/>
    </font>
    <font>
      <b/>
      <sz val="20.0"/>
      <color theme="0"/>
      <name val="Calibri"/>
    </font>
    <font>
      <b/>
      <sz val="11.0"/>
      <color theme="0"/>
      <name val="Calibri"/>
    </font>
    <font>
      <color theme="1"/>
      <name val="Calibri"/>
      <scheme val="minor"/>
    </font>
    <font>
      <b/>
      <sz val="11.0"/>
      <color theme="1"/>
      <name val="Calibri"/>
    </font>
    <font>
      <b/>
      <sz val="11.0"/>
      <color rgb="FFFF0000"/>
      <name val="Calibri"/>
    </font>
    <font>
      <sz val="11.0"/>
      <color rgb="FF000000"/>
      <name val="Calibri"/>
    </font>
    <font>
      <b/>
      <i/>
      <sz val="10.0"/>
      <color theme="1"/>
      <name val="Calibri"/>
    </font>
    <font>
      <i/>
      <sz val="10.0"/>
      <color theme="1"/>
      <name val="Calibri"/>
    </font>
    <font>
      <i/>
      <sz val="9.0"/>
      <color theme="1"/>
      <name val="Calibri"/>
    </font>
    <font>
      <i/>
      <sz val="10.0"/>
      <color rgb="FF002060"/>
      <name val="Calibri"/>
    </font>
    <font>
      <b/>
      <sz val="11.0"/>
      <color rgb="FF000000"/>
      <name val="Calibri"/>
    </font>
    <font>
      <i/>
      <sz val="9.0"/>
      <color rgb="FF000000"/>
      <name val="Calibri"/>
    </font>
    <font>
      <i/>
      <sz val="10.0"/>
      <color rgb="FF000000"/>
      <name val="Calibri"/>
    </font>
    <font>
      <b/>
      <i/>
      <sz val="9.0"/>
      <color theme="1"/>
      <name val="Calibri"/>
    </font>
    <font>
      <b/>
      <sz val="20.0"/>
      <color rgb="FFFFFFFF"/>
      <name val="Calibri"/>
    </font>
    <font>
      <b/>
      <sz val="11.0"/>
      <color rgb="FFFFFFFF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ADB9CA"/>
        <bgColor rgb="FFADB9CA"/>
      </patternFill>
    </fill>
    <fill>
      <patternFill patternType="solid">
        <fgColor rgb="FF8496B0"/>
        <bgColor rgb="FF8496B0"/>
      </patternFill>
    </fill>
    <fill>
      <patternFill patternType="solid">
        <fgColor theme="4"/>
        <bgColor theme="4"/>
      </patternFill>
    </fill>
    <fill>
      <patternFill patternType="solid">
        <fgColor rgb="FF8EAADB"/>
        <bgColor rgb="FF8EAADB"/>
      </patternFill>
    </fill>
    <fill>
      <patternFill patternType="solid">
        <fgColor rgb="FFECECEC"/>
        <bgColor rgb="FFECECEC"/>
      </patternFill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</fills>
  <borders count="6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1"/>
    </xf>
    <xf borderId="0" fillId="0" fontId="2" numFmtId="0" xfId="0" applyAlignment="1" applyFont="1">
      <alignment vertical="bottom"/>
    </xf>
    <xf borderId="0" fillId="0" fontId="2" numFmtId="0" xfId="0" applyAlignment="1" applyFont="1">
      <alignment shrinkToFit="0" vertical="bottom" wrapText="1"/>
    </xf>
    <xf borderId="0" fillId="0" fontId="2" numFmtId="0" xfId="0" applyAlignment="1" applyFont="1">
      <alignment vertical="bottom"/>
    </xf>
    <xf borderId="1" fillId="2" fontId="3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horizontal="right"/>
    </xf>
    <xf borderId="0" fillId="0" fontId="5" numFmtId="0" xfId="0" applyFont="1"/>
    <xf borderId="0" fillId="0" fontId="2" numFmtId="164" xfId="0" applyFont="1" applyNumberFormat="1"/>
    <xf borderId="2" fillId="0" fontId="2" numFmtId="0" xfId="0" applyBorder="1" applyFont="1"/>
    <xf borderId="2" fillId="0" fontId="2" numFmtId="164" xfId="0" applyBorder="1" applyFont="1" applyNumberFormat="1"/>
    <xf borderId="0" fillId="0" fontId="6" numFmtId="0" xfId="0" applyFont="1"/>
    <xf borderId="0" fillId="0" fontId="6" numFmtId="164" xfId="0" applyFont="1" applyNumberFormat="1"/>
    <xf borderId="0" fillId="0" fontId="2" numFmtId="0" xfId="0" applyAlignment="1" applyFont="1">
      <alignment horizontal="left"/>
    </xf>
    <xf borderId="3" fillId="0" fontId="2" numFmtId="0" xfId="0" applyAlignment="1" applyBorder="1" applyFont="1">
      <alignment horizontal="left"/>
    </xf>
    <xf borderId="3" fillId="0" fontId="2" numFmtId="164" xfId="0" applyBorder="1" applyFont="1" applyNumberFormat="1"/>
    <xf borderId="3" fillId="0" fontId="6" numFmtId="0" xfId="0" applyBorder="1" applyFont="1"/>
    <xf borderId="3" fillId="0" fontId="6" numFmtId="164" xfId="0" applyBorder="1" applyFont="1" applyNumberFormat="1"/>
    <xf borderId="4" fillId="0" fontId="6" numFmtId="0" xfId="0" applyBorder="1" applyFont="1"/>
    <xf borderId="4" fillId="0" fontId="6" numFmtId="164" xfId="0" applyBorder="1" applyFont="1" applyNumberFormat="1"/>
    <xf borderId="0" fillId="0" fontId="2" numFmtId="3" xfId="0" applyFont="1" applyNumberFormat="1"/>
    <xf borderId="0" fillId="0" fontId="7" numFmtId="0" xfId="0" applyFont="1"/>
    <xf borderId="0" fillId="0" fontId="7" numFmtId="164" xfId="0" applyFont="1" applyNumberFormat="1"/>
    <xf borderId="1" fillId="3" fontId="6" numFmtId="0" xfId="0" applyAlignment="1" applyBorder="1" applyFill="1" applyFont="1">
      <alignment horizontal="center"/>
    </xf>
    <xf borderId="0" fillId="0" fontId="6" numFmtId="0" xfId="0" applyAlignment="1" applyFont="1">
      <alignment horizontal="left"/>
    </xf>
    <xf borderId="0" fillId="0" fontId="2" numFmtId="164" xfId="0" applyAlignment="1" applyFont="1" applyNumberFormat="1">
      <alignment readingOrder="0"/>
    </xf>
    <xf borderId="5" fillId="0" fontId="6" numFmtId="0" xfId="0" applyAlignment="1" applyBorder="1" applyFont="1">
      <alignment horizontal="left"/>
    </xf>
    <xf borderId="5" fillId="0" fontId="6" numFmtId="164" xfId="0" applyBorder="1" applyFont="1" applyNumberFormat="1"/>
    <xf borderId="5" fillId="0" fontId="6" numFmtId="0" xfId="0" applyBorder="1" applyFont="1"/>
    <xf borderId="0" fillId="0" fontId="8" numFmtId="164" xfId="0" applyFont="1" applyNumberFormat="1"/>
    <xf borderId="0" fillId="0" fontId="9" numFmtId="0" xfId="0" applyAlignment="1" applyFont="1">
      <alignment horizontal="left"/>
    </xf>
    <xf borderId="0" fillId="0" fontId="9" numFmtId="165" xfId="0" applyFont="1" applyNumberFormat="1"/>
    <xf borderId="0" fillId="0" fontId="2" numFmtId="10" xfId="0" applyFont="1" applyNumberFormat="1"/>
    <xf borderId="0" fillId="0" fontId="10" numFmtId="0" xfId="0" applyAlignment="1" applyFont="1">
      <alignment horizontal="left"/>
    </xf>
    <xf borderId="0" fillId="0" fontId="10" numFmtId="165" xfId="0" applyFont="1" applyNumberFormat="1"/>
    <xf borderId="3" fillId="0" fontId="10" numFmtId="0" xfId="0" applyBorder="1" applyFont="1"/>
    <xf borderId="3" fillId="0" fontId="9" numFmtId="165" xfId="0" applyBorder="1" applyFont="1" applyNumberFormat="1"/>
    <xf borderId="0" fillId="0" fontId="6" numFmtId="10" xfId="0" applyFont="1" applyNumberFormat="1"/>
    <xf borderId="4" fillId="0" fontId="9" numFmtId="0" xfId="0" applyBorder="1" applyFont="1"/>
    <xf borderId="4" fillId="0" fontId="9" numFmtId="165" xfId="0" applyBorder="1" applyFont="1" applyNumberFormat="1"/>
    <xf borderId="1" fillId="4" fontId="6" numFmtId="0" xfId="0" applyBorder="1" applyFill="1" applyFont="1"/>
    <xf borderId="1" fillId="5" fontId="4" numFmtId="164" xfId="0" applyAlignment="1" applyBorder="1" applyFill="1" applyFont="1" applyNumberFormat="1">
      <alignment horizontal="left"/>
    </xf>
    <xf borderId="0" fillId="0" fontId="11" numFmtId="164" xfId="0" applyAlignment="1" applyFont="1" applyNumberFormat="1">
      <alignment horizontal="left"/>
    </xf>
    <xf borderId="0" fillId="0" fontId="10" numFmtId="165" xfId="0" applyAlignment="1" applyFont="1" applyNumberFormat="1">
      <alignment horizontal="right"/>
    </xf>
    <xf borderId="0" fillId="0" fontId="2" numFmtId="165" xfId="0" applyFont="1" applyNumberFormat="1"/>
    <xf borderId="1" fillId="6" fontId="6" numFmtId="164" xfId="0" applyBorder="1" applyFill="1" applyFont="1" applyNumberFormat="1"/>
    <xf borderId="0" fillId="0" fontId="2" numFmtId="164" xfId="0" applyAlignment="1" applyFont="1" applyNumberFormat="1">
      <alignment horizontal="left"/>
    </xf>
    <xf borderId="1" fillId="7" fontId="12" numFmtId="165" xfId="0" applyBorder="1" applyFill="1" applyFont="1" applyNumberFormat="1"/>
    <xf borderId="0" fillId="0" fontId="10" numFmtId="164" xfId="0" applyAlignment="1" applyFont="1" applyNumberFormat="1">
      <alignment horizontal="right"/>
    </xf>
    <xf borderId="0" fillId="0" fontId="13" numFmtId="164" xfId="0" applyFont="1" applyNumberFormat="1"/>
    <xf borderId="0" fillId="0" fontId="14" numFmtId="164" xfId="0" applyAlignment="1" applyFont="1" applyNumberFormat="1">
      <alignment horizontal="left"/>
    </xf>
    <xf borderId="0" fillId="0" fontId="15" numFmtId="165" xfId="0" applyAlignment="1" applyFont="1" applyNumberFormat="1">
      <alignment horizontal="right"/>
    </xf>
    <xf borderId="0" fillId="0" fontId="8" numFmtId="164" xfId="0" applyAlignment="1" applyFont="1" applyNumberFormat="1">
      <alignment horizontal="left"/>
    </xf>
    <xf borderId="0" fillId="0" fontId="15" numFmtId="164" xfId="0" applyAlignment="1" applyFont="1" applyNumberFormat="1">
      <alignment horizontal="right"/>
    </xf>
    <xf borderId="0" fillId="0" fontId="16" numFmtId="164" xfId="0" applyAlignment="1" applyFont="1" applyNumberFormat="1">
      <alignment horizontal="left"/>
    </xf>
    <xf borderId="0" fillId="0" fontId="5" numFmtId="164" xfId="0" applyFont="1" applyNumberFormat="1"/>
    <xf borderId="1" fillId="2" fontId="17" numFmtId="0" xfId="0" applyAlignment="1" applyBorder="1" applyFont="1">
      <alignment shrinkToFit="0" wrapText="1"/>
    </xf>
    <xf borderId="1" fillId="2" fontId="18" numFmtId="0" xfId="0" applyAlignment="1" applyBorder="1" applyFont="1">
      <alignment horizontal="right" vertical="bottom"/>
    </xf>
    <xf borderId="1" fillId="4" fontId="6" numFmtId="0" xfId="0" applyAlignment="1" applyBorder="1" applyFont="1">
      <alignment horizontal="right" vertical="bottom"/>
    </xf>
    <xf borderId="1" fillId="8" fontId="18" numFmtId="164" xfId="0" applyAlignment="1" applyBorder="1" applyFill="1" applyFont="1" applyNumberFormat="1">
      <alignment vertical="bottom"/>
    </xf>
    <xf borderId="1" fillId="8" fontId="2" numFmtId="164" xfId="0" applyAlignment="1" applyBorder="1" applyFont="1" applyNumberFormat="1">
      <alignment vertical="bottom"/>
    </xf>
    <xf borderId="1" fillId="4" fontId="2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0" fillId="0" fontId="2" numFmtId="164" xfId="0" applyAlignment="1" applyFont="1" applyNumberFormat="1">
      <alignment vertical="bottom"/>
    </xf>
    <xf borderId="0" fillId="0" fontId="11" numFmtId="164" xfId="0" applyAlignment="1" applyFont="1" applyNumberFormat="1">
      <alignment vertical="bottom"/>
    </xf>
    <xf borderId="0" fillId="0" fontId="2" numFmtId="165" xfId="0" applyAlignment="1" applyFont="1" applyNumberFormat="1">
      <alignment vertical="bottom"/>
    </xf>
    <xf borderId="3" fillId="0" fontId="6" numFmtId="0" xfId="0" applyAlignment="1" applyBorder="1" applyFont="1">
      <alignment vertical="bottom"/>
    </xf>
    <xf borderId="3" fillId="0" fontId="2" numFmtId="164" xfId="0" applyAlignment="1" applyBorder="1" applyFont="1" applyNumberFormat="1">
      <alignment vertical="bottom"/>
    </xf>
    <xf borderId="1" fillId="9" fontId="2" numFmtId="165" xfId="0" applyAlignment="1" applyBorder="1" applyFill="1" applyFont="1" applyNumberFormat="1">
      <alignment vertical="bottom"/>
    </xf>
    <xf borderId="4" fillId="0" fontId="6" numFmtId="0" xfId="0" applyAlignment="1" applyBorder="1" applyFont="1">
      <alignment vertical="bottom"/>
    </xf>
    <xf borderId="4" fillId="0" fontId="2" numFmtId="164" xfId="0" applyAlignment="1" applyBorder="1" applyFont="1" applyNumberFormat="1">
      <alignment vertical="bottom"/>
    </xf>
    <xf borderId="0" fillId="0" fontId="2" numFmtId="166" xfId="0" applyAlignment="1" applyFont="1" applyNumberFormat="1">
      <alignment vertical="bottom"/>
    </xf>
    <xf borderId="1" fillId="8" fontId="18" numFmtId="0" xfId="0" applyAlignment="1" applyBorder="1" applyFont="1">
      <alignment vertical="bottom"/>
    </xf>
    <xf borderId="4" fillId="0" fontId="6" numFmtId="164" xfId="0" applyAlignment="1" applyBorder="1" applyFont="1" applyNumberFormat="1">
      <alignment vertical="bottom"/>
    </xf>
    <xf borderId="0" fillId="0" fontId="6" numFmtId="0" xfId="0" applyAlignment="1" applyFont="1">
      <alignment vertical="bottom"/>
    </xf>
    <xf borderId="0" fillId="0" fontId="7" numFmtId="166" xfId="0" applyAlignment="1" applyFont="1" applyNumberFormat="1">
      <alignment vertical="bottom"/>
    </xf>
    <xf borderId="0" fillId="0" fontId="6" numFmtId="164" xfId="0" applyAlignment="1" applyFont="1" applyNumberFormat="1">
      <alignment vertical="bottom"/>
    </xf>
    <xf borderId="0" fillId="0" fontId="2" numFmtId="164" xfId="0" applyAlignment="1" applyFont="1" applyNumberFormat="1">
      <alignment readingOrder="0" vertical="bottom"/>
    </xf>
    <xf borderId="5" fillId="0" fontId="6" numFmtId="0" xfId="0" applyAlignment="1" applyBorder="1" applyFont="1">
      <alignment vertical="bottom"/>
    </xf>
    <xf borderId="5" fillId="0" fontId="6" numFmtId="164" xfId="0" applyAlignment="1" applyBorder="1" applyFont="1" applyNumberFormat="1">
      <alignment vertical="bottom"/>
    </xf>
    <xf borderId="1" fillId="9" fontId="2" numFmtId="164" xfId="0" applyAlignment="1" applyBorder="1" applyFont="1" applyNumberFormat="1">
      <alignment vertical="bottom"/>
    </xf>
    <xf borderId="0" fillId="0" fontId="2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6.14"/>
    <col customWidth="1" min="2" max="26" width="8.86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4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4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4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4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4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4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4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4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4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4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4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4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4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4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4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4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99.86"/>
    <col customWidth="1" min="2" max="7" width="9.0"/>
    <col customWidth="1" min="8" max="8" width="10.43"/>
    <col customWidth="1" min="9" max="9" width="10.71"/>
    <col customWidth="1" min="10" max="26" width="8.86"/>
  </cols>
  <sheetData>
    <row r="1" ht="60.0" customHeight="1">
      <c r="A1" s="5" t="s">
        <v>4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</row>
    <row r="2">
      <c r="A2" s="7" t="s">
        <v>5</v>
      </c>
      <c r="B2" s="8">
        <v>30601.0</v>
      </c>
      <c r="C2" s="8">
        <v>32376.0</v>
      </c>
      <c r="D2" s="8">
        <v>34350.0</v>
      </c>
      <c r="E2" s="8">
        <v>36397.0</v>
      </c>
      <c r="F2" s="8">
        <v>39117.0</v>
      </c>
      <c r="G2" s="8">
        <v>37403.0</v>
      </c>
      <c r="H2" s="8">
        <v>44538.0</v>
      </c>
      <c r="I2" s="8">
        <v>46710.0</v>
      </c>
    </row>
    <row r="3">
      <c r="A3" s="9" t="s">
        <v>6</v>
      </c>
      <c r="B3" s="10">
        <v>16534.0</v>
      </c>
      <c r="C3" s="10">
        <v>17405.0</v>
      </c>
      <c r="D3" s="10">
        <v>19038.0</v>
      </c>
      <c r="E3" s="10">
        <v>20441.0</v>
      </c>
      <c r="F3" s="10">
        <v>21643.0</v>
      </c>
      <c r="G3" s="10">
        <v>21162.0</v>
      </c>
      <c r="H3" s="10">
        <v>24576.0</v>
      </c>
      <c r="I3" s="10">
        <v>25231.0</v>
      </c>
    </row>
    <row r="4">
      <c r="A4" s="11" t="s">
        <v>7</v>
      </c>
      <c r="B4" s="12">
        <f t="shared" ref="B4:I4" si="2">+B2-B3</f>
        <v>14067</v>
      </c>
      <c r="C4" s="12">
        <f t="shared" si="2"/>
        <v>14971</v>
      </c>
      <c r="D4" s="12">
        <f t="shared" si="2"/>
        <v>15312</v>
      </c>
      <c r="E4" s="12">
        <f t="shared" si="2"/>
        <v>15956</v>
      </c>
      <c r="F4" s="12">
        <f t="shared" si="2"/>
        <v>17474</v>
      </c>
      <c r="G4" s="12">
        <f t="shared" si="2"/>
        <v>16241</v>
      </c>
      <c r="H4" s="12">
        <f t="shared" si="2"/>
        <v>19962</v>
      </c>
      <c r="I4" s="12">
        <f t="shared" si="2"/>
        <v>21479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>
      <c r="A5" s="13" t="s">
        <v>8</v>
      </c>
      <c r="B5" s="8">
        <v>3213.0</v>
      </c>
      <c r="C5" s="8">
        <v>3278.0</v>
      </c>
      <c r="D5" s="8">
        <v>3341.0</v>
      </c>
      <c r="E5" s="8">
        <v>3577.0</v>
      </c>
      <c r="F5" s="8">
        <v>3753.0</v>
      </c>
      <c r="G5" s="8">
        <v>3592.0</v>
      </c>
      <c r="H5" s="8">
        <v>3114.0</v>
      </c>
      <c r="I5" s="8">
        <v>3850.0</v>
      </c>
    </row>
    <row r="6">
      <c r="A6" s="13" t="s">
        <v>9</v>
      </c>
      <c r="B6" s="8">
        <v>6679.0</v>
      </c>
      <c r="C6" s="8">
        <v>7191.0</v>
      </c>
      <c r="D6" s="8">
        <v>7222.0</v>
      </c>
      <c r="E6" s="8">
        <v>7934.0</v>
      </c>
      <c r="F6" s="8">
        <v>8949.0</v>
      </c>
      <c r="G6" s="8">
        <v>9534.0</v>
      </c>
      <c r="H6" s="8">
        <v>9911.0</v>
      </c>
      <c r="I6" s="8">
        <v>10954.0</v>
      </c>
    </row>
    <row r="7">
      <c r="A7" s="14" t="s">
        <v>10</v>
      </c>
      <c r="B7" s="15">
        <f t="shared" ref="B7:I7" si="3">+B5+B6</f>
        <v>9892</v>
      </c>
      <c r="C7" s="15">
        <f t="shared" si="3"/>
        <v>10469</v>
      </c>
      <c r="D7" s="15">
        <f t="shared" si="3"/>
        <v>10563</v>
      </c>
      <c r="E7" s="15">
        <f t="shared" si="3"/>
        <v>11511</v>
      </c>
      <c r="F7" s="15">
        <f t="shared" si="3"/>
        <v>12702</v>
      </c>
      <c r="G7" s="15">
        <f t="shared" si="3"/>
        <v>13126</v>
      </c>
      <c r="H7" s="15">
        <f t="shared" si="3"/>
        <v>13025</v>
      </c>
      <c r="I7" s="15">
        <f t="shared" si="3"/>
        <v>14804</v>
      </c>
    </row>
    <row r="8">
      <c r="A8" s="13" t="s">
        <v>11</v>
      </c>
      <c r="B8" s="8">
        <v>28.0</v>
      </c>
      <c r="C8" s="8">
        <v>19.0</v>
      </c>
      <c r="D8" s="8">
        <v>59.0</v>
      </c>
      <c r="E8" s="8">
        <v>54.0</v>
      </c>
      <c r="F8" s="8">
        <v>49.0</v>
      </c>
      <c r="G8" s="8">
        <v>89.0</v>
      </c>
      <c r="H8" s="8">
        <v>262.0</v>
      </c>
      <c r="I8" s="8">
        <v>205.0</v>
      </c>
    </row>
    <row r="9">
      <c r="A9" s="13" t="s">
        <v>12</v>
      </c>
      <c r="B9" s="8">
        <v>-58.0</v>
      </c>
      <c r="C9" s="8">
        <v>-140.0</v>
      </c>
      <c r="D9" s="8">
        <v>-196.0</v>
      </c>
      <c r="E9" s="8">
        <v>66.0</v>
      </c>
      <c r="F9" s="8">
        <v>-78.0</v>
      </c>
      <c r="G9" s="8">
        <v>139.0</v>
      </c>
      <c r="H9" s="8">
        <v>14.0</v>
      </c>
      <c r="I9" s="8">
        <v>-181.0</v>
      </c>
    </row>
    <row r="10">
      <c r="A10" s="16" t="s">
        <v>13</v>
      </c>
      <c r="B10" s="17">
        <f t="shared" ref="B10:I10" si="4">+B4-B7-B8-B9</f>
        <v>4205</v>
      </c>
      <c r="C10" s="17">
        <f t="shared" si="4"/>
        <v>4623</v>
      </c>
      <c r="D10" s="17">
        <f t="shared" si="4"/>
        <v>4886</v>
      </c>
      <c r="E10" s="17">
        <f t="shared" si="4"/>
        <v>4325</v>
      </c>
      <c r="F10" s="17">
        <f t="shared" si="4"/>
        <v>4801</v>
      </c>
      <c r="G10" s="17">
        <f t="shared" si="4"/>
        <v>2887</v>
      </c>
      <c r="H10" s="17">
        <f t="shared" si="4"/>
        <v>6661</v>
      </c>
      <c r="I10" s="17">
        <f t="shared" si="4"/>
        <v>6651</v>
      </c>
    </row>
    <row r="11">
      <c r="A11" s="13" t="s">
        <v>14</v>
      </c>
      <c r="B11" s="8">
        <v>932.0</v>
      </c>
      <c r="C11" s="8">
        <v>863.0</v>
      </c>
      <c r="D11" s="8">
        <v>646.0</v>
      </c>
      <c r="E11" s="8">
        <v>2392.0</v>
      </c>
      <c r="F11" s="8">
        <v>772.0</v>
      </c>
      <c r="G11" s="8">
        <v>348.0</v>
      </c>
      <c r="H11" s="8">
        <v>934.0</v>
      </c>
      <c r="I11" s="8">
        <v>605.0</v>
      </c>
    </row>
    <row r="12">
      <c r="A12" s="18" t="s">
        <v>15</v>
      </c>
      <c r="B12" s="19">
        <f t="shared" ref="B12:I12" si="5">+B10-B11</f>
        <v>3273</v>
      </c>
      <c r="C12" s="19">
        <f t="shared" si="5"/>
        <v>3760</v>
      </c>
      <c r="D12" s="19">
        <f t="shared" si="5"/>
        <v>4240</v>
      </c>
      <c r="E12" s="19">
        <f t="shared" si="5"/>
        <v>1933</v>
      </c>
      <c r="F12" s="19">
        <f t="shared" si="5"/>
        <v>4029</v>
      </c>
      <c r="G12" s="19">
        <f t="shared" si="5"/>
        <v>2539</v>
      </c>
      <c r="H12" s="19">
        <f t="shared" si="5"/>
        <v>5727</v>
      </c>
      <c r="I12" s="19">
        <f t="shared" si="5"/>
        <v>6046</v>
      </c>
    </row>
    <row r="13">
      <c r="A13" s="11" t="s">
        <v>16</v>
      </c>
    </row>
    <row r="14">
      <c r="A14" s="13" t="s">
        <v>17</v>
      </c>
      <c r="B14" s="7">
        <v>1.9</v>
      </c>
      <c r="C14" s="7">
        <v>2.21</v>
      </c>
      <c r="D14" s="7">
        <v>2.56</v>
      </c>
      <c r="E14" s="7">
        <v>1.19</v>
      </c>
      <c r="F14" s="7">
        <v>2.55</v>
      </c>
      <c r="G14" s="7">
        <v>1.63</v>
      </c>
      <c r="H14" s="7">
        <v>3.64</v>
      </c>
      <c r="I14" s="7">
        <v>3.83</v>
      </c>
    </row>
    <row r="15">
      <c r="A15" s="13" t="s">
        <v>18</v>
      </c>
      <c r="B15" s="7">
        <v>1.85</v>
      </c>
      <c r="C15" s="7">
        <v>2.16</v>
      </c>
      <c r="D15" s="7">
        <v>2.51</v>
      </c>
      <c r="E15" s="7">
        <v>1.17</v>
      </c>
      <c r="F15" s="7">
        <v>2.49</v>
      </c>
      <c r="G15" s="7">
        <v>1.6</v>
      </c>
      <c r="H15" s="7">
        <v>3.56</v>
      </c>
      <c r="I15" s="7">
        <v>3.75</v>
      </c>
    </row>
    <row r="16">
      <c r="A16" s="11" t="s">
        <v>19</v>
      </c>
    </row>
    <row r="17">
      <c r="A17" s="13" t="s">
        <v>17</v>
      </c>
      <c r="B17" s="7">
        <v>1723.5</v>
      </c>
      <c r="C17" s="7">
        <v>1697.9</v>
      </c>
      <c r="D17" s="7">
        <v>1657.8</v>
      </c>
      <c r="E17" s="7">
        <v>1623.8</v>
      </c>
      <c r="F17" s="7">
        <v>1579.7</v>
      </c>
      <c r="G17" s="20">
        <v>1558.8</v>
      </c>
      <c r="H17" s="20">
        <v>1573.0</v>
      </c>
      <c r="I17" s="20">
        <v>1578.8</v>
      </c>
    </row>
    <row r="18">
      <c r="A18" s="13" t="s">
        <v>18</v>
      </c>
      <c r="B18" s="7">
        <v>1768.8</v>
      </c>
      <c r="C18" s="7">
        <v>1742.5</v>
      </c>
      <c r="D18" s="7">
        <v>1692.0</v>
      </c>
      <c r="E18" s="7">
        <v>1659.1</v>
      </c>
      <c r="F18" s="7">
        <v>1618.4</v>
      </c>
      <c r="G18" s="20">
        <v>1591.6</v>
      </c>
      <c r="H18" s="20">
        <v>1609.4</v>
      </c>
      <c r="I18" s="20">
        <v>1610.8</v>
      </c>
    </row>
    <row r="20">
      <c r="A20" s="21" t="s">
        <v>20</v>
      </c>
      <c r="B20" s="22">
        <f t="shared" ref="B20:I20" si="6">+ROUND(((B12/B18)-B15),2)</f>
        <v>0</v>
      </c>
      <c r="C20" s="22">
        <f t="shared" si="6"/>
        <v>0</v>
      </c>
      <c r="D20" s="22">
        <f t="shared" si="6"/>
        <v>0</v>
      </c>
      <c r="E20" s="22">
        <f t="shared" si="6"/>
        <v>0</v>
      </c>
      <c r="F20" s="22">
        <f t="shared" si="6"/>
        <v>0</v>
      </c>
      <c r="G20" s="22">
        <f t="shared" si="6"/>
        <v>0</v>
      </c>
      <c r="H20" s="22">
        <f t="shared" si="6"/>
        <v>0</v>
      </c>
      <c r="I20" s="22">
        <f t="shared" si="6"/>
        <v>0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5.75" customHeight="1"/>
    <row r="22" ht="15.75" customHeight="1">
      <c r="A22" s="23" t="s">
        <v>21</v>
      </c>
      <c r="B22" s="23"/>
      <c r="C22" s="23"/>
      <c r="D22" s="23"/>
      <c r="E22" s="23"/>
      <c r="F22" s="23"/>
      <c r="G22" s="23"/>
      <c r="H22" s="23"/>
      <c r="I22" s="23"/>
    </row>
    <row r="23" ht="15.75" customHeight="1">
      <c r="A23" s="11" t="s">
        <v>22</v>
      </c>
    </row>
    <row r="24" ht="15.75" customHeight="1">
      <c r="A24" s="24" t="s">
        <v>23</v>
      </c>
      <c r="B24" s="8"/>
      <c r="C24" s="8"/>
      <c r="D24" s="8"/>
      <c r="E24" s="8"/>
      <c r="F24" s="8"/>
      <c r="G24" s="8"/>
      <c r="H24" s="8"/>
      <c r="I24" s="8"/>
    </row>
    <row r="25" ht="15.75" customHeight="1">
      <c r="A25" s="13" t="s">
        <v>24</v>
      </c>
      <c r="B25" s="8">
        <v>3852.0</v>
      </c>
      <c r="C25" s="8">
        <v>3138.0</v>
      </c>
      <c r="D25" s="8">
        <v>3808.0</v>
      </c>
      <c r="E25" s="8">
        <v>4249.0</v>
      </c>
      <c r="F25" s="8">
        <v>4466.0</v>
      </c>
      <c r="G25" s="8">
        <v>8348.0</v>
      </c>
      <c r="H25" s="8">
        <v>9889.0</v>
      </c>
      <c r="I25" s="8">
        <v>8574.0</v>
      </c>
    </row>
    <row r="26" ht="15.75" customHeight="1">
      <c r="A26" s="13" t="s">
        <v>25</v>
      </c>
      <c r="B26" s="8">
        <v>2072.0</v>
      </c>
      <c r="C26" s="8">
        <v>2319.0</v>
      </c>
      <c r="D26" s="8">
        <v>2371.0</v>
      </c>
      <c r="E26" s="8">
        <v>996.0</v>
      </c>
      <c r="F26" s="8">
        <v>197.0</v>
      </c>
      <c r="G26" s="8">
        <v>439.0</v>
      </c>
      <c r="H26" s="8">
        <v>3587.0</v>
      </c>
      <c r="I26" s="8">
        <v>4423.0</v>
      </c>
    </row>
    <row r="27" ht="15.75" customHeight="1">
      <c r="A27" s="13" t="s">
        <v>26</v>
      </c>
      <c r="B27" s="8">
        <v>3358.0</v>
      </c>
      <c r="C27" s="8">
        <v>3241.0</v>
      </c>
      <c r="D27" s="8">
        <v>3677.0</v>
      </c>
      <c r="E27" s="8">
        <v>3498.0</v>
      </c>
      <c r="F27" s="8">
        <v>4272.0</v>
      </c>
      <c r="G27" s="8">
        <v>2749.0</v>
      </c>
      <c r="H27" s="8">
        <v>4463.0</v>
      </c>
      <c r="I27" s="8">
        <v>4667.0</v>
      </c>
    </row>
    <row r="28" ht="15.75" customHeight="1">
      <c r="A28" s="13" t="s">
        <v>27</v>
      </c>
      <c r="B28" s="8">
        <v>4337.0</v>
      </c>
      <c r="C28" s="8">
        <v>4838.0</v>
      </c>
      <c r="D28" s="8">
        <v>5055.0</v>
      </c>
      <c r="E28" s="8">
        <v>5261.0</v>
      </c>
      <c r="F28" s="8">
        <v>5622.0</v>
      </c>
      <c r="G28" s="8">
        <v>7367.0</v>
      </c>
      <c r="H28" s="8">
        <v>6854.0</v>
      </c>
      <c r="I28" s="8">
        <v>8420.0</v>
      </c>
    </row>
    <row r="29" ht="15.75" customHeight="1">
      <c r="A29" s="13" t="s">
        <v>28</v>
      </c>
      <c r="B29" s="8">
        <v>1968.0</v>
      </c>
      <c r="C29" s="8">
        <v>1489.0</v>
      </c>
      <c r="D29" s="8">
        <v>1150.0</v>
      </c>
      <c r="E29" s="8">
        <v>1130.0</v>
      </c>
      <c r="F29" s="8">
        <v>1968.0</v>
      </c>
      <c r="G29" s="8">
        <v>1653.0</v>
      </c>
      <c r="H29" s="8">
        <v>1498.0</v>
      </c>
      <c r="I29" s="8">
        <v>2129.0</v>
      </c>
    </row>
    <row r="30" ht="15.75" customHeight="1">
      <c r="A30" s="16" t="s">
        <v>29</v>
      </c>
      <c r="B30" s="17">
        <f t="shared" ref="B30:I30" si="7">+SUM(B25:B29)</f>
        <v>15587</v>
      </c>
      <c r="C30" s="17">
        <f t="shared" si="7"/>
        <v>15025</v>
      </c>
      <c r="D30" s="17">
        <f t="shared" si="7"/>
        <v>16061</v>
      </c>
      <c r="E30" s="17">
        <f t="shared" si="7"/>
        <v>15134</v>
      </c>
      <c r="F30" s="17">
        <f t="shared" si="7"/>
        <v>16525</v>
      </c>
      <c r="G30" s="17">
        <f t="shared" si="7"/>
        <v>20556</v>
      </c>
      <c r="H30" s="17">
        <f t="shared" si="7"/>
        <v>26291</v>
      </c>
      <c r="I30" s="17">
        <f t="shared" si="7"/>
        <v>28213</v>
      </c>
    </row>
    <row r="31" ht="15.75" customHeight="1">
      <c r="A31" s="13" t="s">
        <v>30</v>
      </c>
      <c r="B31" s="8">
        <v>3011.0</v>
      </c>
      <c r="C31" s="8">
        <v>3520.0</v>
      </c>
      <c r="D31" s="8">
        <v>3989.0</v>
      </c>
      <c r="E31" s="8">
        <v>4454.0</v>
      </c>
      <c r="F31" s="8">
        <v>4744.0</v>
      </c>
      <c r="G31" s="8">
        <v>4886.0</v>
      </c>
      <c r="H31" s="8">
        <v>4904.0</v>
      </c>
      <c r="I31" s="8">
        <v>4791.0</v>
      </c>
    </row>
    <row r="32" ht="15.75" customHeight="1">
      <c r="A32" s="13" t="s">
        <v>31</v>
      </c>
      <c r="B32" s="8"/>
      <c r="C32" s="8"/>
      <c r="D32" s="8"/>
      <c r="E32" s="8"/>
      <c r="F32" s="8"/>
      <c r="G32" s="8">
        <v>3097.0</v>
      </c>
      <c r="H32" s="8">
        <v>3113.0</v>
      </c>
      <c r="I32" s="8">
        <v>2926.0</v>
      </c>
    </row>
    <row r="33" ht="15.75" customHeight="1">
      <c r="A33" s="13" t="s">
        <v>32</v>
      </c>
      <c r="B33" s="25">
        <v>281.0</v>
      </c>
      <c r="C33" s="8">
        <v>281.0</v>
      </c>
      <c r="D33" s="8">
        <v>283.0</v>
      </c>
      <c r="E33" s="8">
        <v>285.0</v>
      </c>
      <c r="F33" s="8">
        <v>283.0</v>
      </c>
      <c r="G33" s="8">
        <v>274.0</v>
      </c>
      <c r="H33" s="8">
        <v>269.0</v>
      </c>
      <c r="I33" s="8">
        <v>286.0</v>
      </c>
    </row>
    <row r="34" ht="15.75" customHeight="1">
      <c r="A34" s="13" t="s">
        <v>33</v>
      </c>
      <c r="B34" s="8">
        <v>131.0</v>
      </c>
      <c r="C34" s="8">
        <v>131.0</v>
      </c>
      <c r="D34" s="8">
        <v>139.0</v>
      </c>
      <c r="E34" s="8">
        <v>154.0</v>
      </c>
      <c r="F34" s="8">
        <v>154.0</v>
      </c>
      <c r="G34" s="8">
        <v>223.0</v>
      </c>
      <c r="H34" s="8">
        <v>242.0</v>
      </c>
      <c r="I34" s="8">
        <v>284.0</v>
      </c>
    </row>
    <row r="35" ht="15.75" customHeight="1">
      <c r="A35" s="13" t="s">
        <v>34</v>
      </c>
      <c r="B35" s="8">
        <v>2587.0</v>
      </c>
      <c r="C35" s="8">
        <v>2439.0</v>
      </c>
      <c r="D35" s="8">
        <v>2787.0</v>
      </c>
      <c r="E35" s="8">
        <v>2509.0</v>
      </c>
      <c r="F35" s="8">
        <v>2011.0</v>
      </c>
      <c r="G35" s="8">
        <v>2326.0</v>
      </c>
      <c r="H35" s="8">
        <v>2921.0</v>
      </c>
      <c r="I35" s="8">
        <v>3821.0</v>
      </c>
    </row>
    <row r="36" ht="15.75" customHeight="1">
      <c r="A36" s="18" t="s">
        <v>35</v>
      </c>
      <c r="B36" s="19">
        <f t="shared" ref="B36:I36" si="8">+SUM(B30:B35)</f>
        <v>21597</v>
      </c>
      <c r="C36" s="19">
        <f t="shared" si="8"/>
        <v>21396</v>
      </c>
      <c r="D36" s="19">
        <f t="shared" si="8"/>
        <v>23259</v>
      </c>
      <c r="E36" s="19">
        <f t="shared" si="8"/>
        <v>22536</v>
      </c>
      <c r="F36" s="19">
        <f t="shared" si="8"/>
        <v>23717</v>
      </c>
      <c r="G36" s="19">
        <f t="shared" si="8"/>
        <v>31362</v>
      </c>
      <c r="H36" s="19">
        <f t="shared" si="8"/>
        <v>37740</v>
      </c>
      <c r="I36" s="19">
        <f t="shared" si="8"/>
        <v>40321</v>
      </c>
    </row>
    <row r="37" ht="15.75" customHeight="1">
      <c r="A37" s="11" t="s">
        <v>36</v>
      </c>
      <c r="B37" s="8"/>
      <c r="C37" s="8"/>
      <c r="D37" s="8"/>
      <c r="E37" s="8"/>
      <c r="F37" s="8"/>
      <c r="G37" s="8"/>
      <c r="H37" s="8"/>
      <c r="I37" s="8"/>
    </row>
    <row r="38" ht="15.75" customHeight="1">
      <c r="A38" s="13" t="s">
        <v>37</v>
      </c>
      <c r="B38" s="8"/>
      <c r="C38" s="8"/>
      <c r="D38" s="8"/>
      <c r="E38" s="8"/>
      <c r="F38" s="8"/>
      <c r="G38" s="8"/>
      <c r="H38" s="8"/>
      <c r="I38" s="8"/>
    </row>
    <row r="39" ht="15.75" customHeight="1">
      <c r="A39" s="13" t="s">
        <v>38</v>
      </c>
      <c r="B39" s="8">
        <v>107.0</v>
      </c>
      <c r="C39" s="8">
        <v>44.0</v>
      </c>
      <c r="D39" s="8">
        <v>6.0</v>
      </c>
      <c r="E39" s="8">
        <v>6.0</v>
      </c>
      <c r="F39" s="8">
        <v>6.0</v>
      </c>
      <c r="G39" s="8">
        <v>3.0</v>
      </c>
      <c r="H39" s="8">
        <v>0.0</v>
      </c>
      <c r="I39" s="8">
        <v>500.0</v>
      </c>
    </row>
    <row r="40" ht="15.75" customHeight="1">
      <c r="A40" s="13" t="s">
        <v>39</v>
      </c>
      <c r="B40" s="8">
        <v>74.0</v>
      </c>
      <c r="C40" s="8">
        <v>1.0</v>
      </c>
      <c r="D40" s="8">
        <v>325.0</v>
      </c>
      <c r="E40" s="8">
        <v>336.0</v>
      </c>
      <c r="F40" s="8">
        <v>9.0</v>
      </c>
      <c r="G40" s="8">
        <v>248.0</v>
      </c>
      <c r="H40" s="8">
        <v>2.0</v>
      </c>
      <c r="I40" s="8">
        <v>10.0</v>
      </c>
    </row>
    <row r="41" ht="15.75" customHeight="1">
      <c r="A41" s="13" t="s">
        <v>40</v>
      </c>
      <c r="B41" s="8">
        <v>2131.0</v>
      </c>
      <c r="C41" s="8">
        <v>2191.0</v>
      </c>
      <c r="D41" s="8">
        <v>2048.0</v>
      </c>
      <c r="E41" s="8">
        <v>2279.0</v>
      </c>
      <c r="F41" s="8">
        <v>2612.0</v>
      </c>
      <c r="G41" s="8">
        <v>2248.0</v>
      </c>
      <c r="H41" s="8">
        <v>2836.0</v>
      </c>
      <c r="I41" s="8">
        <v>3358.0</v>
      </c>
    </row>
    <row r="42" ht="15.75" customHeight="1">
      <c r="A42" s="13" t="s">
        <v>41</v>
      </c>
      <c r="B42" s="8"/>
      <c r="C42" s="8"/>
      <c r="D42" s="8"/>
      <c r="E42" s="8"/>
      <c r="F42" s="8"/>
      <c r="G42" s="8">
        <v>445.0</v>
      </c>
      <c r="H42" s="8">
        <v>467.0</v>
      </c>
      <c r="I42" s="8">
        <v>420.0</v>
      </c>
    </row>
    <row r="43" ht="15.75" customHeight="1">
      <c r="A43" s="13" t="s">
        <v>42</v>
      </c>
      <c r="B43" s="8">
        <v>3949.0</v>
      </c>
      <c r="C43" s="8">
        <v>3037.0</v>
      </c>
      <c r="D43" s="8">
        <v>3011.0</v>
      </c>
      <c r="E43" s="8">
        <v>3269.0</v>
      </c>
      <c r="F43" s="8">
        <v>5010.0</v>
      </c>
      <c r="G43" s="8">
        <v>5184.0</v>
      </c>
      <c r="H43" s="8">
        <v>6063.0</v>
      </c>
      <c r="I43" s="8">
        <v>6220.0</v>
      </c>
    </row>
    <row r="44" ht="15.75" customHeight="1">
      <c r="A44" s="13" t="s">
        <v>43</v>
      </c>
      <c r="B44" s="8">
        <v>71.0</v>
      </c>
      <c r="C44" s="8">
        <v>85.0</v>
      </c>
      <c r="D44" s="8">
        <v>84.0</v>
      </c>
      <c r="E44" s="8">
        <v>150.0</v>
      </c>
      <c r="F44" s="8">
        <v>229.0</v>
      </c>
      <c r="G44" s="8">
        <v>156.0</v>
      </c>
      <c r="H44" s="8"/>
      <c r="I44" s="8">
        <v>222.0</v>
      </c>
    </row>
    <row r="45" ht="15.75" customHeight="1">
      <c r="A45" s="16" t="s">
        <v>44</v>
      </c>
      <c r="B45" s="17">
        <f t="shared" ref="B45:I45" si="9">+SUM(B39:B44)</f>
        <v>6332</v>
      </c>
      <c r="C45" s="17">
        <f t="shared" si="9"/>
        <v>5358</v>
      </c>
      <c r="D45" s="17">
        <f t="shared" si="9"/>
        <v>5474</v>
      </c>
      <c r="E45" s="17">
        <f t="shared" si="9"/>
        <v>6040</v>
      </c>
      <c r="F45" s="17">
        <f t="shared" si="9"/>
        <v>7866</v>
      </c>
      <c r="G45" s="17">
        <f t="shared" si="9"/>
        <v>8284</v>
      </c>
      <c r="H45" s="17">
        <f t="shared" si="9"/>
        <v>9368</v>
      </c>
      <c r="I45" s="17">
        <f t="shared" si="9"/>
        <v>10730</v>
      </c>
    </row>
    <row r="46" ht="15.75" customHeight="1">
      <c r="A46" s="13" t="s">
        <v>45</v>
      </c>
      <c r="B46" s="8">
        <v>1079.0</v>
      </c>
      <c r="C46" s="8">
        <v>2010.0</v>
      </c>
      <c r="D46" s="8">
        <v>3471.0</v>
      </c>
      <c r="E46" s="8">
        <v>3468.0</v>
      </c>
      <c r="F46" s="8">
        <v>3464.0</v>
      </c>
      <c r="G46" s="8">
        <v>9406.0</v>
      </c>
      <c r="H46" s="8">
        <v>9413.0</v>
      </c>
      <c r="I46" s="8">
        <v>8920.0</v>
      </c>
    </row>
    <row r="47" ht="15.75" customHeight="1">
      <c r="A47" s="13" t="s">
        <v>46</v>
      </c>
      <c r="B47" s="8">
        <v>1479.0</v>
      </c>
      <c r="C47" s="8">
        <v>1770.0</v>
      </c>
      <c r="D47" s="8">
        <v>1907.0</v>
      </c>
      <c r="E47" s="8">
        <v>3216.0</v>
      </c>
      <c r="F47" s="8"/>
      <c r="G47" s="8">
        <v>2913.0</v>
      </c>
      <c r="H47" s="8">
        <v>2931.0</v>
      </c>
      <c r="I47" s="8">
        <v>2777.0</v>
      </c>
    </row>
    <row r="48" ht="15.75" customHeight="1">
      <c r="A48" s="13" t="s">
        <v>47</v>
      </c>
      <c r="B48" s="8"/>
      <c r="C48" s="8"/>
      <c r="D48" s="8"/>
      <c r="E48" s="8"/>
      <c r="F48" s="8">
        <v>3347.0</v>
      </c>
      <c r="G48" s="8">
        <v>2684.0</v>
      </c>
      <c r="H48" s="8">
        <v>2955.0</v>
      </c>
      <c r="I48" s="8">
        <v>2613.0</v>
      </c>
    </row>
    <row r="49" ht="15.75" customHeight="1">
      <c r="A49" s="13" t="s">
        <v>48</v>
      </c>
      <c r="B49" s="8"/>
      <c r="C49" s="8"/>
      <c r="D49" s="8"/>
      <c r="E49" s="8"/>
      <c r="F49" s="8"/>
      <c r="G49" s="8"/>
      <c r="H49" s="8"/>
      <c r="I49" s="8"/>
    </row>
    <row r="50" ht="15.75" customHeight="1">
      <c r="A50" s="13" t="s">
        <v>49</v>
      </c>
      <c r="B50" s="8"/>
      <c r="C50" s="8"/>
      <c r="D50" s="8"/>
      <c r="E50" s="8"/>
      <c r="F50" s="8"/>
      <c r="G50" s="8"/>
      <c r="H50" s="8">
        <v>0.0</v>
      </c>
      <c r="I50" s="8">
        <v>0.0</v>
      </c>
    </row>
    <row r="51" ht="15.75" customHeight="1">
      <c r="A51" s="13" t="s">
        <v>50</v>
      </c>
      <c r="B51" s="8"/>
      <c r="C51" s="8"/>
      <c r="D51" s="8"/>
      <c r="E51" s="8"/>
      <c r="F51" s="8"/>
      <c r="G51" s="8"/>
      <c r="H51" s="8"/>
      <c r="I51" s="8"/>
    </row>
    <row r="52" ht="15.75" customHeight="1">
      <c r="A52" s="13" t="s">
        <v>51</v>
      </c>
      <c r="B52" s="8"/>
      <c r="C52" s="8"/>
      <c r="D52" s="8"/>
      <c r="E52" s="8"/>
      <c r="F52" s="8"/>
      <c r="G52" s="8"/>
      <c r="H52" s="8"/>
      <c r="I52" s="8"/>
    </row>
    <row r="53" ht="15.75" customHeight="1">
      <c r="A53" s="13" t="s">
        <v>52</v>
      </c>
      <c r="B53" s="8"/>
      <c r="C53" s="8"/>
      <c r="D53" s="8"/>
      <c r="E53" s="8"/>
      <c r="F53" s="8"/>
      <c r="G53" s="8"/>
      <c r="H53" s="8"/>
      <c r="I53" s="8"/>
    </row>
    <row r="54" ht="15.75" customHeight="1">
      <c r="A54" s="13" t="s">
        <v>53</v>
      </c>
      <c r="B54" s="8">
        <v>3.0</v>
      </c>
      <c r="C54" s="8">
        <v>3.0</v>
      </c>
      <c r="D54" s="8">
        <v>3.0</v>
      </c>
      <c r="E54" s="8">
        <v>3.0</v>
      </c>
      <c r="F54" s="8">
        <v>3.0</v>
      </c>
      <c r="G54" s="8">
        <v>3.0</v>
      </c>
      <c r="H54" s="8">
        <v>3.0</v>
      </c>
      <c r="I54" s="8">
        <v>3.0</v>
      </c>
    </row>
    <row r="55" ht="15.75" customHeight="1">
      <c r="A55" s="13" t="s">
        <v>54</v>
      </c>
      <c r="B55" s="8">
        <v>6773.0</v>
      </c>
      <c r="C55" s="8">
        <v>7786.0</v>
      </c>
      <c r="D55" s="8">
        <v>5710.0</v>
      </c>
      <c r="E55" s="8">
        <v>6384.0</v>
      </c>
      <c r="F55" s="8">
        <v>7163.0</v>
      </c>
      <c r="G55" s="8">
        <v>8299.0</v>
      </c>
      <c r="H55" s="8">
        <v>9965.0</v>
      </c>
      <c r="I55" s="8">
        <v>11484.0</v>
      </c>
    </row>
    <row r="56" ht="15.75" customHeight="1">
      <c r="A56" s="13" t="s">
        <v>55</v>
      </c>
      <c r="B56" s="8">
        <v>1246.0</v>
      </c>
      <c r="C56" s="8">
        <v>318.0</v>
      </c>
      <c r="D56" s="8">
        <v>-213.0</v>
      </c>
      <c r="E56" s="8">
        <v>-92.0</v>
      </c>
      <c r="F56" s="8">
        <v>231.0</v>
      </c>
      <c r="G56" s="8">
        <v>-56.0</v>
      </c>
      <c r="H56" s="8">
        <v>-380.0</v>
      </c>
      <c r="I56" s="8">
        <v>318.0</v>
      </c>
    </row>
    <row r="57" ht="15.75" customHeight="1">
      <c r="A57" s="13" t="s">
        <v>56</v>
      </c>
      <c r="B57" s="8">
        <v>4685.0</v>
      </c>
      <c r="C57" s="8">
        <v>4151.0</v>
      </c>
      <c r="D57" s="8">
        <v>6907.0</v>
      </c>
      <c r="E57" s="8">
        <v>3517.0</v>
      </c>
      <c r="F57" s="8">
        <v>1643.0</v>
      </c>
      <c r="G57" s="8">
        <v>-191.0</v>
      </c>
      <c r="H57" s="8">
        <v>3179.0</v>
      </c>
      <c r="I57" s="8">
        <v>3476.0</v>
      </c>
    </row>
    <row r="58" ht="15.75" customHeight="1">
      <c r="A58" s="16" t="s">
        <v>57</v>
      </c>
      <c r="B58" s="17">
        <f t="shared" ref="B58:I58" si="10">+SUM(B53:B57)</f>
        <v>12707</v>
      </c>
      <c r="C58" s="17">
        <f t="shared" si="10"/>
        <v>12258</v>
      </c>
      <c r="D58" s="17">
        <f t="shared" si="10"/>
        <v>12407</v>
      </c>
      <c r="E58" s="17">
        <f t="shared" si="10"/>
        <v>9812</v>
      </c>
      <c r="F58" s="17">
        <f t="shared" si="10"/>
        <v>9040</v>
      </c>
      <c r="G58" s="17">
        <f t="shared" si="10"/>
        <v>8055</v>
      </c>
      <c r="H58" s="17">
        <f t="shared" si="10"/>
        <v>12767</v>
      </c>
      <c r="I58" s="17">
        <f t="shared" si="10"/>
        <v>15281</v>
      </c>
    </row>
    <row r="59" ht="15.75" customHeight="1">
      <c r="A59" s="18" t="s">
        <v>58</v>
      </c>
      <c r="B59" s="19">
        <f t="shared" ref="B59:I59" si="11">+SUM(B45:B50)+B58</f>
        <v>21597</v>
      </c>
      <c r="C59" s="19">
        <f t="shared" si="11"/>
        <v>21396</v>
      </c>
      <c r="D59" s="19">
        <f t="shared" si="11"/>
        <v>23259</v>
      </c>
      <c r="E59" s="19">
        <f t="shared" si="11"/>
        <v>22536</v>
      </c>
      <c r="F59" s="19">
        <f t="shared" si="11"/>
        <v>23717</v>
      </c>
      <c r="G59" s="19">
        <f t="shared" si="11"/>
        <v>31342</v>
      </c>
      <c r="H59" s="19">
        <f t="shared" si="11"/>
        <v>37434</v>
      </c>
      <c r="I59" s="19">
        <f t="shared" si="11"/>
        <v>40321</v>
      </c>
    </row>
    <row r="60" ht="15.75" customHeight="1">
      <c r="A60" s="21" t="s">
        <v>59</v>
      </c>
      <c r="B60" s="22">
        <f t="shared" ref="B60:I60" si="12">+B59-B36</f>
        <v>0</v>
      </c>
      <c r="C60" s="22">
        <f t="shared" si="12"/>
        <v>0</v>
      </c>
      <c r="D60" s="22">
        <f t="shared" si="12"/>
        <v>0</v>
      </c>
      <c r="E60" s="22">
        <f t="shared" si="12"/>
        <v>0</v>
      </c>
      <c r="F60" s="22">
        <f t="shared" si="12"/>
        <v>0</v>
      </c>
      <c r="G60" s="22">
        <f t="shared" si="12"/>
        <v>-20</v>
      </c>
      <c r="H60" s="22">
        <f t="shared" si="12"/>
        <v>-306</v>
      </c>
      <c r="I60" s="22">
        <f t="shared" si="12"/>
        <v>0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15.75" customHeight="1">
      <c r="A61" s="23" t="s">
        <v>60</v>
      </c>
      <c r="B61" s="23"/>
      <c r="C61" s="23"/>
      <c r="D61" s="23"/>
      <c r="E61" s="23"/>
      <c r="F61" s="23"/>
      <c r="G61" s="23"/>
      <c r="H61" s="23"/>
      <c r="I61" s="23"/>
    </row>
    <row r="62" ht="15.75" customHeight="1">
      <c r="A62" s="7" t="s">
        <v>61</v>
      </c>
    </row>
    <row r="63" ht="15.75" customHeight="1">
      <c r="A63" s="11" t="s">
        <v>62</v>
      </c>
    </row>
    <row r="64" ht="15.75" customHeight="1">
      <c r="A64" s="24" t="s">
        <v>63</v>
      </c>
      <c r="B64" s="12">
        <v>3273.0</v>
      </c>
      <c r="C64" s="12">
        <v>3760.0</v>
      </c>
      <c r="D64" s="12">
        <v>4240.0</v>
      </c>
      <c r="E64" s="12">
        <v>1933.0</v>
      </c>
      <c r="F64" s="12">
        <v>4029.0</v>
      </c>
      <c r="G64" s="12">
        <v>2539.0</v>
      </c>
      <c r="H64" s="12">
        <f t="shared" ref="H64:I64" si="13">+H12</f>
        <v>5727</v>
      </c>
      <c r="I64" s="12">
        <f t="shared" si="13"/>
        <v>6046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5.75" customHeight="1">
      <c r="A65" s="13" t="s">
        <v>64</v>
      </c>
      <c r="B65" s="8"/>
      <c r="C65" s="8"/>
      <c r="D65" s="8"/>
      <c r="E65" s="8"/>
      <c r="F65" s="8"/>
      <c r="G65" s="8"/>
      <c r="H65" s="8"/>
      <c r="I65" s="8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5.75" customHeight="1">
      <c r="A66" s="13" t="s">
        <v>65</v>
      </c>
      <c r="B66" s="8">
        <v>606.0</v>
      </c>
      <c r="C66" s="8">
        <v>649.0</v>
      </c>
      <c r="D66" s="8">
        <v>706.0</v>
      </c>
      <c r="E66" s="8">
        <v>747.0</v>
      </c>
      <c r="F66" s="8">
        <v>705.0</v>
      </c>
      <c r="G66" s="8">
        <v>721.0</v>
      </c>
      <c r="H66" s="8">
        <v>744.0</v>
      </c>
      <c r="I66" s="8">
        <v>717.0</v>
      </c>
    </row>
    <row r="67" ht="15.75" customHeight="1">
      <c r="A67" s="13" t="s">
        <v>66</v>
      </c>
      <c r="B67" s="8">
        <v>-113.0</v>
      </c>
      <c r="C67" s="8">
        <v>-80.0</v>
      </c>
      <c r="D67" s="8">
        <v>-273.0</v>
      </c>
      <c r="E67" s="8">
        <v>647.0</v>
      </c>
      <c r="F67" s="8">
        <v>34.0</v>
      </c>
      <c r="G67" s="8">
        <v>-380.0</v>
      </c>
      <c r="H67" s="8">
        <v>-385.0</v>
      </c>
      <c r="I67" s="8">
        <v>-650.0</v>
      </c>
    </row>
    <row r="68" ht="15.75" customHeight="1">
      <c r="A68" s="13" t="s">
        <v>67</v>
      </c>
      <c r="B68" s="8">
        <v>191.0</v>
      </c>
      <c r="C68" s="8">
        <v>236.0</v>
      </c>
      <c r="D68" s="8">
        <v>215.0</v>
      </c>
      <c r="E68" s="8">
        <v>218.0</v>
      </c>
      <c r="F68" s="8">
        <v>325.0</v>
      </c>
      <c r="G68" s="8">
        <v>429.0</v>
      </c>
      <c r="H68" s="8">
        <v>611.0</v>
      </c>
      <c r="I68" s="8">
        <v>638.0</v>
      </c>
    </row>
    <row r="69" ht="15.75" customHeight="1">
      <c r="A69" s="13" t="s">
        <v>68</v>
      </c>
      <c r="B69" s="8">
        <v>43.0</v>
      </c>
      <c r="C69" s="8">
        <v>13.0</v>
      </c>
      <c r="D69" s="8">
        <v>10.0</v>
      </c>
      <c r="E69" s="8">
        <v>27.0</v>
      </c>
      <c r="F69" s="8">
        <v>15.0</v>
      </c>
      <c r="G69" s="8">
        <v>398.0</v>
      </c>
      <c r="H69" s="8">
        <v>53.0</v>
      </c>
      <c r="I69" s="8">
        <v>123.0</v>
      </c>
    </row>
    <row r="70" ht="15.75" customHeight="1">
      <c r="A70" s="13" t="s">
        <v>69</v>
      </c>
      <c r="B70" s="8">
        <v>424.0</v>
      </c>
      <c r="C70" s="8">
        <v>98.0</v>
      </c>
      <c r="D70" s="8">
        <v>-117.0</v>
      </c>
      <c r="E70" s="8">
        <v>-99.0</v>
      </c>
      <c r="F70" s="8">
        <v>233.0</v>
      </c>
      <c r="G70" s="8">
        <v>23.0</v>
      </c>
      <c r="H70" s="8">
        <v>-138.0</v>
      </c>
      <c r="I70" s="8">
        <v>-26.0</v>
      </c>
    </row>
    <row r="71" ht="15.75" customHeight="1">
      <c r="A71" s="13" t="s">
        <v>70</v>
      </c>
      <c r="B71" s="8"/>
      <c r="C71" s="8"/>
      <c r="D71" s="8"/>
      <c r="E71" s="8"/>
      <c r="F71" s="8"/>
      <c r="G71" s="8"/>
      <c r="H71" s="8"/>
      <c r="I71" s="8"/>
    </row>
    <row r="72" ht="15.75" customHeight="1">
      <c r="A72" s="13" t="s">
        <v>71</v>
      </c>
      <c r="B72" s="8">
        <v>-216.0</v>
      </c>
      <c r="C72" s="8">
        <v>60.0</v>
      </c>
      <c r="D72" s="8">
        <v>-426.0</v>
      </c>
      <c r="E72" s="8">
        <v>187.0</v>
      </c>
      <c r="F72" s="8">
        <v>-270.0</v>
      </c>
      <c r="G72" s="8">
        <v>1239.0</v>
      </c>
      <c r="H72" s="8">
        <v>-1606.0</v>
      </c>
      <c r="I72" s="8">
        <v>-504.0</v>
      </c>
    </row>
    <row r="73" ht="15.75" customHeight="1">
      <c r="A73" s="13" t="s">
        <v>72</v>
      </c>
      <c r="B73" s="8">
        <v>-621.0</v>
      </c>
      <c r="C73" s="8">
        <v>-590.0</v>
      </c>
      <c r="D73" s="8">
        <v>-231.0</v>
      </c>
      <c r="E73" s="8">
        <v>-255.0</v>
      </c>
      <c r="F73" s="8">
        <v>-490.0</v>
      </c>
      <c r="G73" s="8">
        <v>-1854.0</v>
      </c>
      <c r="H73" s="8">
        <v>507.0</v>
      </c>
      <c r="I73" s="8">
        <v>-1676.0</v>
      </c>
    </row>
    <row r="74" ht="15.75" customHeight="1">
      <c r="A74" s="13" t="s">
        <v>73</v>
      </c>
      <c r="B74" s="8">
        <v>-144.0</v>
      </c>
      <c r="C74" s="8">
        <v>-161.0</v>
      </c>
      <c r="D74" s="8">
        <v>-120.0</v>
      </c>
      <c r="E74" s="8">
        <v>35.0</v>
      </c>
      <c r="F74" s="8">
        <v>-203.0</v>
      </c>
      <c r="G74" s="8">
        <v>-654.0</v>
      </c>
      <c r="H74" s="8">
        <v>-182.0</v>
      </c>
      <c r="I74" s="8">
        <v>-845.0</v>
      </c>
    </row>
    <row r="75" ht="15.75" customHeight="1">
      <c r="A75" s="13" t="s">
        <v>74</v>
      </c>
      <c r="B75" s="8">
        <v>1237.0</v>
      </c>
      <c r="C75" s="8">
        <v>-889.0</v>
      </c>
      <c r="D75" s="8">
        <v>-158.0</v>
      </c>
      <c r="E75" s="8">
        <v>1515.0</v>
      </c>
      <c r="F75" s="8">
        <v>1525.0</v>
      </c>
      <c r="G75" s="8">
        <v>24.0</v>
      </c>
      <c r="H75" s="8">
        <v>1326.0</v>
      </c>
      <c r="I75" s="8">
        <v>1365.0</v>
      </c>
    </row>
    <row r="76" ht="15.75" customHeight="1">
      <c r="A76" s="26" t="s">
        <v>75</v>
      </c>
      <c r="B76" s="27">
        <f t="shared" ref="B76:I76" si="14">+SUM(B64:B75)</f>
        <v>4680</v>
      </c>
      <c r="C76" s="27">
        <f t="shared" si="14"/>
        <v>3096</v>
      </c>
      <c r="D76" s="27">
        <f t="shared" si="14"/>
        <v>3846</v>
      </c>
      <c r="E76" s="27">
        <f t="shared" si="14"/>
        <v>4955</v>
      </c>
      <c r="F76" s="27">
        <f t="shared" si="14"/>
        <v>5903</v>
      </c>
      <c r="G76" s="27">
        <f t="shared" si="14"/>
        <v>2485</v>
      </c>
      <c r="H76" s="27">
        <f t="shared" si="14"/>
        <v>6657</v>
      </c>
      <c r="I76" s="27">
        <f t="shared" si="14"/>
        <v>5188</v>
      </c>
    </row>
    <row r="77" ht="15.75" customHeight="1">
      <c r="A77" s="11" t="s">
        <v>76</v>
      </c>
      <c r="B77" s="8"/>
      <c r="C77" s="8"/>
      <c r="D77" s="8"/>
      <c r="E77" s="8"/>
      <c r="F77" s="8"/>
      <c r="G77" s="8"/>
      <c r="H77" s="8"/>
      <c r="I77" s="8"/>
    </row>
    <row r="78" ht="15.75" customHeight="1">
      <c r="A78" s="13" t="s">
        <v>77</v>
      </c>
      <c r="B78" s="8">
        <v>-4936.0</v>
      </c>
      <c r="C78" s="8">
        <v>-5367.0</v>
      </c>
      <c r="D78" s="8">
        <v>-5928.0</v>
      </c>
      <c r="E78" s="8">
        <v>-4783.0</v>
      </c>
      <c r="F78" s="8">
        <v>-2937.0</v>
      </c>
      <c r="G78" s="8">
        <v>-2426.0</v>
      </c>
      <c r="H78" s="8">
        <v>-9961.0</v>
      </c>
      <c r="I78" s="8">
        <v>-12913.0</v>
      </c>
    </row>
    <row r="79" ht="15.75" customHeight="1">
      <c r="A79" s="13" t="s">
        <v>78</v>
      </c>
      <c r="B79" s="8">
        <v>3655.0</v>
      </c>
      <c r="C79" s="8">
        <v>2924.0</v>
      </c>
      <c r="D79" s="8">
        <v>3623.0</v>
      </c>
      <c r="E79" s="8">
        <v>3613.0</v>
      </c>
      <c r="F79" s="8">
        <v>1715.0</v>
      </c>
      <c r="G79" s="8">
        <v>74.0</v>
      </c>
      <c r="H79" s="8">
        <v>4236.0</v>
      </c>
      <c r="I79" s="8">
        <v>8199.0</v>
      </c>
    </row>
    <row r="80" ht="15.75" customHeight="1">
      <c r="A80" s="13" t="s">
        <v>79</v>
      </c>
      <c r="B80" s="8">
        <v>2216.0</v>
      </c>
      <c r="C80" s="8">
        <v>2386.0</v>
      </c>
      <c r="D80" s="8">
        <v>2423.0</v>
      </c>
      <c r="E80" s="8">
        <v>2496.0</v>
      </c>
      <c r="F80" s="8">
        <v>2072.0</v>
      </c>
      <c r="G80" s="8">
        <v>2379.0</v>
      </c>
      <c r="H80" s="8">
        <v>2449.0</v>
      </c>
      <c r="I80" s="8">
        <v>3967.0</v>
      </c>
    </row>
    <row r="81" ht="15.75" customHeight="1">
      <c r="A81" s="13" t="s">
        <v>80</v>
      </c>
      <c r="B81" s="8">
        <v>-150.0</v>
      </c>
      <c r="C81" s="8">
        <v>150.0</v>
      </c>
      <c r="D81" s="8"/>
      <c r="E81" s="8"/>
      <c r="F81" s="8"/>
      <c r="G81" s="8"/>
      <c r="H81" s="8"/>
      <c r="I81" s="8"/>
    </row>
    <row r="82" ht="15.75" customHeight="1">
      <c r="A82" s="13" t="s">
        <v>81</v>
      </c>
      <c r="B82" s="8">
        <v>-963.0</v>
      </c>
      <c r="C82" s="8">
        <v>-1143.0</v>
      </c>
      <c r="D82" s="8">
        <v>-1105.0</v>
      </c>
      <c r="E82" s="8">
        <v>-1028.0</v>
      </c>
      <c r="F82" s="8">
        <v>-1119.0</v>
      </c>
      <c r="G82" s="8">
        <v>-1086.0</v>
      </c>
      <c r="H82" s="8">
        <v>-695.0</v>
      </c>
      <c r="I82" s="8">
        <v>-758.0</v>
      </c>
    </row>
    <row r="83" ht="15.75" customHeight="1">
      <c r="A83" s="13" t="s">
        <v>82</v>
      </c>
      <c r="B83" s="8">
        <v>3.0</v>
      </c>
      <c r="C83" s="8">
        <v>10.0</v>
      </c>
      <c r="D83" s="8">
        <v>13.0</v>
      </c>
      <c r="E83" s="8">
        <v>3.0</v>
      </c>
      <c r="F83" s="8"/>
      <c r="G83" s="8"/>
      <c r="H83" s="8"/>
      <c r="I83" s="8"/>
    </row>
    <row r="84" ht="15.75" customHeight="1">
      <c r="A84" s="13" t="s">
        <v>83</v>
      </c>
      <c r="B84" s="8"/>
      <c r="C84" s="8">
        <v>6.0</v>
      </c>
      <c r="D84" s="8">
        <v>-34.0</v>
      </c>
      <c r="E84" s="8">
        <v>-25.0</v>
      </c>
      <c r="F84" s="8">
        <v>5.0</v>
      </c>
      <c r="G84" s="8">
        <v>31.0</v>
      </c>
      <c r="H84" s="8">
        <v>171.0</v>
      </c>
      <c r="I84" s="8">
        <v>-19.0</v>
      </c>
    </row>
    <row r="85" ht="15.75" customHeight="1">
      <c r="A85" s="28" t="s">
        <v>84</v>
      </c>
      <c r="B85" s="27">
        <f t="shared" ref="B85:I85" si="15">+SUM(B78:B84)</f>
        <v>-175</v>
      </c>
      <c r="C85" s="27">
        <f t="shared" si="15"/>
        <v>-1034</v>
      </c>
      <c r="D85" s="27">
        <f t="shared" si="15"/>
        <v>-1008</v>
      </c>
      <c r="E85" s="27">
        <f t="shared" si="15"/>
        <v>276</v>
      </c>
      <c r="F85" s="27">
        <f t="shared" si="15"/>
        <v>-264</v>
      </c>
      <c r="G85" s="27">
        <f t="shared" si="15"/>
        <v>-1028</v>
      </c>
      <c r="H85" s="27">
        <f t="shared" si="15"/>
        <v>-3800</v>
      </c>
      <c r="I85" s="27">
        <f t="shared" si="15"/>
        <v>-1524</v>
      </c>
    </row>
    <row r="86" ht="15.75" customHeight="1">
      <c r="A86" s="11" t="s">
        <v>85</v>
      </c>
      <c r="B86" s="8"/>
      <c r="C86" s="8"/>
      <c r="D86" s="8"/>
      <c r="E86" s="8"/>
      <c r="F86" s="8"/>
      <c r="G86" s="8"/>
      <c r="H86" s="8"/>
      <c r="I86" s="8"/>
    </row>
    <row r="87" ht="15.75" customHeight="1">
      <c r="A87" s="13" t="s">
        <v>86</v>
      </c>
      <c r="B87" s="8"/>
      <c r="C87" s="8">
        <v>981.0</v>
      </c>
      <c r="D87" s="8">
        <v>1482.0</v>
      </c>
      <c r="E87" s="8"/>
      <c r="F87" s="8"/>
      <c r="G87" s="8">
        <v>6134.0</v>
      </c>
      <c r="H87" s="8">
        <v>0.0</v>
      </c>
      <c r="I87" s="8">
        <v>0.0</v>
      </c>
    </row>
    <row r="88" ht="15.75" customHeight="1">
      <c r="A88" s="13" t="s">
        <v>87</v>
      </c>
      <c r="B88" s="8">
        <v>-7.0</v>
      </c>
      <c r="C88" s="8">
        <v>-106.0</v>
      </c>
      <c r="D88" s="8">
        <v>-44.0</v>
      </c>
      <c r="E88" s="8">
        <v>-6.0</v>
      </c>
      <c r="F88" s="8"/>
      <c r="G88" s="8"/>
      <c r="H88" s="8"/>
      <c r="I88" s="8"/>
    </row>
    <row r="89" ht="15.75" customHeight="1">
      <c r="A89" s="13" t="s">
        <v>88</v>
      </c>
      <c r="B89" s="8">
        <v>-63.0</v>
      </c>
      <c r="C89" s="8">
        <v>-67.0</v>
      </c>
      <c r="D89" s="8">
        <v>327.0</v>
      </c>
      <c r="E89" s="8">
        <v>13.0</v>
      </c>
      <c r="F89" s="8">
        <v>-325.0</v>
      </c>
      <c r="G89" s="8">
        <v>49.0</v>
      </c>
      <c r="H89" s="8">
        <v>-52.0</v>
      </c>
      <c r="I89" s="8">
        <v>15.0</v>
      </c>
    </row>
    <row r="90" ht="15.75" customHeight="1">
      <c r="A90" s="13" t="s">
        <v>89</v>
      </c>
      <c r="B90" s="8">
        <v>-19.0</v>
      </c>
      <c r="C90" s="8">
        <v>-7.0</v>
      </c>
      <c r="D90" s="8">
        <v>-17.0</v>
      </c>
      <c r="E90" s="8">
        <v>-23.0</v>
      </c>
      <c r="F90" s="8"/>
      <c r="G90" s="8"/>
      <c r="H90" s="8">
        <v>-197.0</v>
      </c>
      <c r="I90" s="8">
        <v>0.0</v>
      </c>
    </row>
    <row r="91" ht="15.75" customHeight="1">
      <c r="A91" s="13" t="s">
        <v>90</v>
      </c>
      <c r="B91" s="8">
        <v>514.0</v>
      </c>
      <c r="C91" s="8">
        <v>507.0</v>
      </c>
      <c r="D91" s="8">
        <v>489.0</v>
      </c>
      <c r="E91" s="8">
        <v>733.0</v>
      </c>
      <c r="F91" s="8">
        <v>700.0</v>
      </c>
      <c r="G91" s="8">
        <v>885.0</v>
      </c>
      <c r="H91" s="8">
        <v>1172.0</v>
      </c>
      <c r="I91" s="8">
        <v>1151.0</v>
      </c>
    </row>
    <row r="92" ht="15.75" customHeight="1">
      <c r="A92" s="13" t="s">
        <v>91</v>
      </c>
      <c r="B92" s="8">
        <v>218.0</v>
      </c>
      <c r="C92" s="8">
        <v>281.0</v>
      </c>
      <c r="D92" s="8">
        <v>177.0</v>
      </c>
      <c r="E92" s="8"/>
      <c r="F92" s="8"/>
      <c r="G92" s="8"/>
      <c r="H92" s="8"/>
      <c r="I92" s="8"/>
    </row>
    <row r="93" ht="15.75" customHeight="1">
      <c r="A93" s="13" t="s">
        <v>92</v>
      </c>
      <c r="B93" s="8">
        <v>218.0</v>
      </c>
      <c r="C93" s="8">
        <v>-3238.0</v>
      </c>
      <c r="D93" s="8">
        <v>-3223.0</v>
      </c>
      <c r="E93" s="8">
        <v>-4254.0</v>
      </c>
      <c r="F93" s="8">
        <v>-4286.0</v>
      </c>
      <c r="G93" s="8">
        <v>-3067.0</v>
      </c>
      <c r="H93" s="8">
        <v>-608.0</v>
      </c>
      <c r="I93" s="8">
        <v>-4014.0</v>
      </c>
    </row>
    <row r="94" ht="15.75" customHeight="1">
      <c r="A94" s="13" t="s">
        <v>93</v>
      </c>
      <c r="B94" s="8">
        <v>-2534.0</v>
      </c>
      <c r="C94" s="8">
        <v>-1022.0</v>
      </c>
      <c r="D94" s="8">
        <v>-1133.0</v>
      </c>
      <c r="E94" s="8">
        <v>-1243.0</v>
      </c>
      <c r="F94" s="8">
        <v>-1332.0</v>
      </c>
      <c r="G94" s="8">
        <v>-1452.0</v>
      </c>
      <c r="H94" s="8">
        <v>-1638.0</v>
      </c>
      <c r="I94" s="8">
        <v>-1837.0</v>
      </c>
    </row>
    <row r="95" ht="15.75" customHeight="1">
      <c r="A95" s="13" t="s">
        <v>94</v>
      </c>
      <c r="B95" s="8">
        <v>-899.0</v>
      </c>
      <c r="C95" s="8">
        <v>-22.0</v>
      </c>
      <c r="D95" s="8">
        <v>-29.0</v>
      </c>
      <c r="E95" s="8">
        <v>-55.0</v>
      </c>
      <c r="F95" s="8">
        <v>-50.0</v>
      </c>
      <c r="G95" s="8">
        <v>-58.0</v>
      </c>
      <c r="H95" s="8">
        <v>-136.0</v>
      </c>
      <c r="I95" s="8">
        <v>-151.0</v>
      </c>
    </row>
    <row r="96" ht="15.75" customHeight="1">
      <c r="A96" s="28" t="s">
        <v>95</v>
      </c>
      <c r="B96" s="27">
        <f t="shared" ref="B96:I96" si="16">+SUM(B87:B95)</f>
        <v>-2572</v>
      </c>
      <c r="C96" s="27">
        <f t="shared" si="16"/>
        <v>-2693</v>
      </c>
      <c r="D96" s="27">
        <f t="shared" si="16"/>
        <v>-1971</v>
      </c>
      <c r="E96" s="27">
        <f t="shared" si="16"/>
        <v>-4835</v>
      </c>
      <c r="F96" s="27">
        <f t="shared" si="16"/>
        <v>-5293</v>
      </c>
      <c r="G96" s="27">
        <f t="shared" si="16"/>
        <v>2491</v>
      </c>
      <c r="H96" s="27">
        <f t="shared" si="16"/>
        <v>-1459</v>
      </c>
      <c r="I96" s="27">
        <f t="shared" si="16"/>
        <v>-4836</v>
      </c>
    </row>
    <row r="97" ht="15.75" customHeight="1">
      <c r="A97" s="13" t="s">
        <v>96</v>
      </c>
      <c r="B97" s="8">
        <v>-83.0</v>
      </c>
      <c r="C97" s="8">
        <v>-105.0</v>
      </c>
      <c r="D97" s="8">
        <v>-20.0</v>
      </c>
      <c r="E97" s="8">
        <v>45.0</v>
      </c>
      <c r="F97" s="8">
        <v>-129.0</v>
      </c>
      <c r="G97" s="8">
        <v>-66.0</v>
      </c>
      <c r="H97" s="8">
        <v>143.0</v>
      </c>
      <c r="I97" s="8">
        <v>-143.0</v>
      </c>
    </row>
    <row r="98" ht="15.75" customHeight="1">
      <c r="A98" s="28" t="s">
        <v>97</v>
      </c>
      <c r="B98" s="27">
        <f t="shared" ref="B98:I98" si="17">+B76+B85+B96+B97</f>
        <v>1850</v>
      </c>
      <c r="C98" s="27">
        <f t="shared" si="17"/>
        <v>-736</v>
      </c>
      <c r="D98" s="27">
        <f t="shared" si="17"/>
        <v>847</v>
      </c>
      <c r="E98" s="27">
        <f t="shared" si="17"/>
        <v>441</v>
      </c>
      <c r="F98" s="27">
        <f t="shared" si="17"/>
        <v>217</v>
      </c>
      <c r="G98" s="27">
        <f t="shared" si="17"/>
        <v>3882</v>
      </c>
      <c r="H98" s="27">
        <f t="shared" si="17"/>
        <v>1541</v>
      </c>
      <c r="I98" s="27">
        <f t="shared" si="17"/>
        <v>-1315</v>
      </c>
    </row>
    <row r="99" ht="15.75" customHeight="1">
      <c r="A99" s="7" t="s">
        <v>98</v>
      </c>
      <c r="B99" s="8">
        <v>2220.0</v>
      </c>
      <c r="C99" s="8">
        <v>3852.0</v>
      </c>
      <c r="D99" s="8">
        <v>3138.0</v>
      </c>
      <c r="E99" s="8">
        <v>3808.0</v>
      </c>
      <c r="F99" s="8">
        <v>4249.0</v>
      </c>
      <c r="G99" s="8">
        <v>4466.0</v>
      </c>
      <c r="H99" s="8">
        <v>8348.0</v>
      </c>
      <c r="I99" s="8">
        <f>+H100</f>
        <v>9889</v>
      </c>
    </row>
    <row r="100" ht="15.75" customHeight="1">
      <c r="A100" s="18" t="s">
        <v>99</v>
      </c>
      <c r="B100" s="19">
        <v>3852.0</v>
      </c>
      <c r="C100" s="19">
        <v>3138.0</v>
      </c>
      <c r="D100" s="19">
        <v>3808.0</v>
      </c>
      <c r="E100" s="19">
        <v>4249.0</v>
      </c>
      <c r="F100" s="19">
        <v>4466.0</v>
      </c>
      <c r="G100" s="19">
        <v>8348.0</v>
      </c>
      <c r="H100" s="19">
        <f t="shared" ref="H100:I100" si="18">+H98+H99</f>
        <v>9889</v>
      </c>
      <c r="I100" s="19">
        <f t="shared" si="18"/>
        <v>8574</v>
      </c>
    </row>
    <row r="101" ht="15.75" customHeight="1">
      <c r="A101" s="21" t="s">
        <v>100</v>
      </c>
      <c r="B101" s="22">
        <f t="shared" ref="B101:I101" si="19">+B100-B25</f>
        <v>0</v>
      </c>
      <c r="C101" s="22">
        <f t="shared" si="19"/>
        <v>0</v>
      </c>
      <c r="D101" s="22">
        <f t="shared" si="19"/>
        <v>0</v>
      </c>
      <c r="E101" s="22">
        <f t="shared" si="19"/>
        <v>0</v>
      </c>
      <c r="F101" s="22">
        <f t="shared" si="19"/>
        <v>0</v>
      </c>
      <c r="G101" s="22">
        <f t="shared" si="19"/>
        <v>0</v>
      </c>
      <c r="H101" s="22">
        <f t="shared" si="19"/>
        <v>0</v>
      </c>
      <c r="I101" s="22">
        <f t="shared" si="19"/>
        <v>0</v>
      </c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ht="15.75" customHeight="1">
      <c r="A102" s="7" t="s">
        <v>101</v>
      </c>
      <c r="B102" s="8"/>
      <c r="C102" s="8"/>
      <c r="D102" s="8"/>
      <c r="E102" s="8"/>
      <c r="F102" s="8"/>
      <c r="G102" s="8"/>
      <c r="H102" s="8"/>
      <c r="I102" s="8"/>
    </row>
    <row r="103" ht="15.75" customHeight="1">
      <c r="A103" s="13" t="s">
        <v>102</v>
      </c>
      <c r="B103" s="8"/>
      <c r="C103" s="8"/>
      <c r="D103" s="8"/>
      <c r="E103" s="8"/>
      <c r="F103" s="8"/>
      <c r="G103" s="8"/>
      <c r="H103" s="8"/>
      <c r="I103" s="8"/>
    </row>
    <row r="104" ht="15.75" customHeight="1">
      <c r="A104" s="13" t="s">
        <v>103</v>
      </c>
      <c r="B104" s="29">
        <v>53.0</v>
      </c>
      <c r="C104" s="29">
        <v>70.0</v>
      </c>
      <c r="D104" s="29">
        <v>98.0</v>
      </c>
      <c r="E104" s="29">
        <v>125.0</v>
      </c>
      <c r="F104" s="29">
        <v>153.0</v>
      </c>
      <c r="G104" s="29">
        <v>140.0</v>
      </c>
      <c r="H104" s="8">
        <v>293.0</v>
      </c>
      <c r="I104" s="8">
        <v>290.0</v>
      </c>
    </row>
    <row r="105" ht="15.75" customHeight="1">
      <c r="A105" s="13" t="s">
        <v>104</v>
      </c>
      <c r="B105" s="29">
        <v>1262.0</v>
      </c>
      <c r="C105" s="29">
        <v>748.0</v>
      </c>
      <c r="D105" s="29">
        <v>703.0</v>
      </c>
      <c r="E105" s="29">
        <v>529.0</v>
      </c>
      <c r="F105" s="29">
        <v>757.0</v>
      </c>
      <c r="G105" s="29">
        <v>1028.0</v>
      </c>
      <c r="H105" s="8">
        <v>1177.0</v>
      </c>
      <c r="I105" s="8">
        <v>1231.0</v>
      </c>
    </row>
    <row r="106" ht="15.75" customHeight="1">
      <c r="A106" s="13" t="s">
        <v>105</v>
      </c>
      <c r="B106" s="29">
        <v>206.0</v>
      </c>
      <c r="C106" s="29">
        <v>252.0</v>
      </c>
      <c r="D106" s="29">
        <v>266.0</v>
      </c>
      <c r="E106" s="29">
        <v>294.0</v>
      </c>
      <c r="F106" s="29">
        <v>160.0</v>
      </c>
      <c r="G106" s="29">
        <v>121.0</v>
      </c>
      <c r="H106" s="8">
        <v>179.0</v>
      </c>
      <c r="I106" s="8">
        <v>160.0</v>
      </c>
    </row>
    <row r="107" ht="15.75" customHeight="1">
      <c r="A107" s="13" t="s">
        <v>106</v>
      </c>
      <c r="B107" s="29">
        <v>240.0</v>
      </c>
      <c r="C107" s="29">
        <v>271.0</v>
      </c>
      <c r="D107" s="29">
        <v>300.0</v>
      </c>
      <c r="E107" s="29">
        <v>320.0</v>
      </c>
      <c r="F107" s="29">
        <v>347.0</v>
      </c>
      <c r="G107" s="29">
        <v>385.0</v>
      </c>
      <c r="H107" s="8">
        <v>438.0</v>
      </c>
      <c r="I107" s="8">
        <v>480.0</v>
      </c>
    </row>
    <row r="108" ht="15.75" customHeight="1"/>
    <row r="109" ht="15.75" customHeight="1">
      <c r="A109" s="23" t="s">
        <v>107</v>
      </c>
      <c r="B109" s="23"/>
      <c r="C109" s="23"/>
      <c r="D109" s="23"/>
      <c r="E109" s="23"/>
      <c r="F109" s="23"/>
      <c r="G109" s="23"/>
      <c r="H109" s="23"/>
      <c r="I109" s="23"/>
    </row>
    <row r="110" ht="15.75" customHeight="1">
      <c r="A110" s="24" t="s">
        <v>108</v>
      </c>
      <c r="B110" s="8"/>
      <c r="C110" s="8"/>
      <c r="D110" s="8"/>
      <c r="E110" s="8"/>
      <c r="F110" s="8"/>
      <c r="G110" s="8"/>
      <c r="H110" s="8"/>
      <c r="I110" s="8"/>
    </row>
    <row r="111" ht="15.75" customHeight="1">
      <c r="A111" s="13" t="s">
        <v>109</v>
      </c>
      <c r="B111" s="8">
        <v>13740.0</v>
      </c>
      <c r="C111" s="8">
        <v>14764.0</v>
      </c>
      <c r="D111" s="8">
        <v>15216.0</v>
      </c>
      <c r="E111" s="8">
        <v>14855.0</v>
      </c>
      <c r="F111" s="8">
        <v>15902.0</v>
      </c>
      <c r="G111" s="8">
        <v>14484.0</v>
      </c>
      <c r="H111" s="8">
        <f t="shared" ref="H111:I111" si="20">+SUM(H112:H114)</f>
        <v>17179</v>
      </c>
      <c r="I111" s="8">
        <f t="shared" si="20"/>
        <v>18353</v>
      </c>
    </row>
    <row r="112" ht="15.75" customHeight="1">
      <c r="A112" s="13" t="s">
        <v>110</v>
      </c>
      <c r="B112" s="7">
        <v>8506.0</v>
      </c>
      <c r="C112" s="7">
        <v>9299.0</v>
      </c>
      <c r="D112" s="7">
        <v>9684.0</v>
      </c>
      <c r="E112" s="7">
        <v>9322.0</v>
      </c>
      <c r="F112" s="7">
        <v>10045.0</v>
      </c>
      <c r="G112" s="7">
        <v>9329.0</v>
      </c>
      <c r="H112" s="20">
        <v>11644.0</v>
      </c>
      <c r="I112" s="20">
        <v>12228.0</v>
      </c>
    </row>
    <row r="113" ht="15.75" customHeight="1">
      <c r="A113" s="13" t="s">
        <v>111</v>
      </c>
      <c r="B113" s="7">
        <v>4410.0</v>
      </c>
      <c r="C113" s="7">
        <v>4746.0</v>
      </c>
      <c r="D113" s="7">
        <v>4886.0</v>
      </c>
      <c r="E113" s="7">
        <v>4938.0</v>
      </c>
      <c r="F113" s="7">
        <v>5260.0</v>
      </c>
      <c r="G113" s="7">
        <v>4639.0</v>
      </c>
      <c r="H113" s="20">
        <v>5028.0</v>
      </c>
      <c r="I113" s="20">
        <v>5492.0</v>
      </c>
    </row>
    <row r="114" ht="15.75" customHeight="1">
      <c r="A114" s="13" t="s">
        <v>112</v>
      </c>
      <c r="B114" s="7">
        <v>824.0</v>
      </c>
      <c r="C114" s="7">
        <v>719.0</v>
      </c>
      <c r="D114" s="7">
        <v>646.0</v>
      </c>
      <c r="E114" s="7">
        <v>595.0</v>
      </c>
      <c r="F114" s="7">
        <v>597.0</v>
      </c>
      <c r="G114" s="7">
        <v>516.0</v>
      </c>
      <c r="H114" s="7">
        <v>507.0</v>
      </c>
      <c r="I114" s="7">
        <v>633.0</v>
      </c>
    </row>
    <row r="115" ht="15.75" customHeight="1">
      <c r="A115" s="13" t="s">
        <v>113</v>
      </c>
      <c r="B115" s="8">
        <f>B116+B118+B117</f>
        <v>11024</v>
      </c>
      <c r="C115" s="8">
        <v>7568.0</v>
      </c>
      <c r="D115" s="8">
        <v>7970.0</v>
      </c>
      <c r="E115" s="8">
        <v>9242.0</v>
      </c>
      <c r="F115" s="8">
        <v>9812.0</v>
      </c>
      <c r="G115" s="8">
        <v>9347.0</v>
      </c>
      <c r="H115" s="8">
        <f t="shared" ref="H115:I115" si="21">+SUM(H116:H118)</f>
        <v>11456</v>
      </c>
      <c r="I115" s="8">
        <f t="shared" si="21"/>
        <v>12479</v>
      </c>
    </row>
    <row r="116" ht="15.75" customHeight="1">
      <c r="A116" s="13" t="s">
        <v>110</v>
      </c>
      <c r="B116" s="7">
        <f>3876+827+2641</f>
        <v>7344</v>
      </c>
      <c r="C116" s="7">
        <v>5043.0</v>
      </c>
      <c r="D116" s="7">
        <v>5192.0</v>
      </c>
      <c r="E116" s="7">
        <v>5875.0</v>
      </c>
      <c r="F116" s="7">
        <v>6293.0</v>
      </c>
      <c r="G116" s="7">
        <v>5892.0</v>
      </c>
      <c r="H116" s="20">
        <v>6970.0</v>
      </c>
      <c r="I116" s="20">
        <v>7388.0</v>
      </c>
    </row>
    <row r="117" ht="15.75" customHeight="1">
      <c r="A117" s="13" t="s">
        <v>111</v>
      </c>
      <c r="B117" s="7">
        <f>1552+499+1021</f>
        <v>3072</v>
      </c>
      <c r="C117" s="7">
        <v>2149.0</v>
      </c>
      <c r="D117" s="7">
        <v>2395.0</v>
      </c>
      <c r="E117" s="7">
        <v>2940.0</v>
      </c>
      <c r="F117" s="7">
        <v>3087.0</v>
      </c>
      <c r="G117" s="7">
        <v>3053.0</v>
      </c>
      <c r="H117" s="20">
        <v>3996.0</v>
      </c>
      <c r="I117" s="20">
        <v>4527.0</v>
      </c>
    </row>
    <row r="118" ht="15.75" customHeight="1">
      <c r="A118" s="13" t="s">
        <v>112</v>
      </c>
      <c r="B118" s="7">
        <f>95+277+236</f>
        <v>608</v>
      </c>
      <c r="C118" s="7">
        <v>376.0</v>
      </c>
      <c r="D118" s="7">
        <v>383.0</v>
      </c>
      <c r="E118" s="7">
        <v>427.0</v>
      </c>
      <c r="F118" s="7">
        <v>432.0</v>
      </c>
      <c r="G118" s="7">
        <v>402.0</v>
      </c>
      <c r="H118" s="7">
        <v>490.0</v>
      </c>
      <c r="I118" s="7">
        <v>564.0</v>
      </c>
    </row>
    <row r="119" ht="15.75" customHeight="1">
      <c r="A119" s="13" t="s">
        <v>114</v>
      </c>
      <c r="B119" s="8">
        <v>3067.0</v>
      </c>
      <c r="C119" s="8">
        <v>3785.0</v>
      </c>
      <c r="D119" s="8">
        <v>4237.0</v>
      </c>
      <c r="E119" s="8">
        <v>5134.0</v>
      </c>
      <c r="F119" s="8">
        <v>6208.0</v>
      </c>
      <c r="G119" s="8">
        <v>6679.0</v>
      </c>
      <c r="H119" s="8">
        <f t="shared" ref="H119:I119" si="22">+SUM(H120:H122)</f>
        <v>8290</v>
      </c>
      <c r="I119" s="8">
        <f t="shared" si="22"/>
        <v>7547</v>
      </c>
    </row>
    <row r="120" ht="15.75" customHeight="1">
      <c r="A120" s="13" t="s">
        <v>110</v>
      </c>
      <c r="B120" s="7">
        <v>2016.0</v>
      </c>
      <c r="C120" s="7">
        <v>2599.0</v>
      </c>
      <c r="D120" s="7">
        <v>2920.0</v>
      </c>
      <c r="E120" s="7">
        <v>3496.0</v>
      </c>
      <c r="F120" s="7">
        <v>4262.0</v>
      </c>
      <c r="G120" s="7">
        <v>4635.0</v>
      </c>
      <c r="H120" s="20">
        <v>5748.0</v>
      </c>
      <c r="I120" s="20">
        <v>5416.0</v>
      </c>
    </row>
    <row r="121" ht="15.75" customHeight="1">
      <c r="A121" s="13" t="s">
        <v>111</v>
      </c>
      <c r="B121" s="7">
        <v>925.0</v>
      </c>
      <c r="C121" s="7">
        <v>1055.0</v>
      </c>
      <c r="D121" s="7">
        <v>1188.0</v>
      </c>
      <c r="E121" s="7">
        <v>1508.0</v>
      </c>
      <c r="F121" s="7">
        <v>1808.0</v>
      </c>
      <c r="G121" s="7">
        <v>1896.0</v>
      </c>
      <c r="H121" s="20">
        <v>2347.0</v>
      </c>
      <c r="I121" s="20">
        <v>1938.0</v>
      </c>
    </row>
    <row r="122" ht="15.75" customHeight="1">
      <c r="A122" s="13" t="s">
        <v>112</v>
      </c>
      <c r="B122" s="7">
        <v>126.0</v>
      </c>
      <c r="C122" s="7">
        <v>131.0</v>
      </c>
      <c r="D122" s="7">
        <v>129.0</v>
      </c>
      <c r="E122" s="7">
        <v>130.0</v>
      </c>
      <c r="F122" s="7">
        <v>138.0</v>
      </c>
      <c r="G122" s="7">
        <v>148.0</v>
      </c>
      <c r="H122" s="7">
        <v>195.0</v>
      </c>
      <c r="I122" s="7">
        <v>193.0</v>
      </c>
    </row>
    <row r="123" ht="15.75" customHeight="1">
      <c r="A123" s="13" t="s">
        <v>115</v>
      </c>
      <c r="B123" s="8">
        <v>755.0</v>
      </c>
      <c r="C123" s="8">
        <v>4317.0</v>
      </c>
      <c r="D123" s="8">
        <v>4737.0</v>
      </c>
      <c r="E123" s="8">
        <v>5166.0</v>
      </c>
      <c r="F123" s="8">
        <v>5254.0</v>
      </c>
      <c r="G123" s="8">
        <v>5028.0</v>
      </c>
      <c r="H123" s="8">
        <f t="shared" ref="H123:I123" si="23">+SUM(H124:H126)</f>
        <v>5343</v>
      </c>
      <c r="I123" s="8">
        <f t="shared" si="23"/>
        <v>5955</v>
      </c>
    </row>
    <row r="124" ht="15.75" customHeight="1">
      <c r="A124" s="13" t="s">
        <v>110</v>
      </c>
      <c r="B124" s="7">
        <v>452.0</v>
      </c>
      <c r="C124" s="7">
        <v>2930.0</v>
      </c>
      <c r="D124" s="7">
        <v>3285.0</v>
      </c>
      <c r="E124" s="7">
        <v>3575.0</v>
      </c>
      <c r="F124" s="7">
        <v>3622.0</v>
      </c>
      <c r="G124" s="7">
        <v>3449.0</v>
      </c>
      <c r="H124" s="20">
        <v>3659.0</v>
      </c>
      <c r="I124" s="20">
        <v>4111.0</v>
      </c>
    </row>
    <row r="125" ht="15.75" customHeight="1">
      <c r="A125" s="13" t="s">
        <v>111</v>
      </c>
      <c r="B125" s="7">
        <v>230.0</v>
      </c>
      <c r="C125" s="7">
        <v>1117.0</v>
      </c>
      <c r="D125" s="7">
        <v>1185.0</v>
      </c>
      <c r="E125" s="7">
        <v>1347.0</v>
      </c>
      <c r="F125" s="7">
        <v>1395.0</v>
      </c>
      <c r="G125" s="7">
        <v>1365.0</v>
      </c>
      <c r="H125" s="20">
        <v>1494.0</v>
      </c>
      <c r="I125" s="20">
        <v>1610.0</v>
      </c>
    </row>
    <row r="126" ht="15.75" customHeight="1">
      <c r="A126" s="13" t="s">
        <v>112</v>
      </c>
      <c r="B126" s="7">
        <v>73.0</v>
      </c>
      <c r="C126" s="7">
        <v>270.0</v>
      </c>
      <c r="D126" s="7">
        <v>267.0</v>
      </c>
      <c r="E126" s="7">
        <v>244.0</v>
      </c>
      <c r="F126" s="7">
        <v>237.0</v>
      </c>
      <c r="G126" s="7">
        <v>214.0</v>
      </c>
      <c r="H126" s="7">
        <v>190.0</v>
      </c>
      <c r="I126" s="7">
        <v>234.0</v>
      </c>
    </row>
    <row r="127" ht="15.75" customHeight="1">
      <c r="A127" s="13" t="s">
        <v>116</v>
      </c>
      <c r="B127" s="8">
        <v>115.0</v>
      </c>
      <c r="C127" s="8">
        <v>73.0</v>
      </c>
      <c r="D127" s="8">
        <v>73.0</v>
      </c>
      <c r="E127" s="8">
        <v>88.0</v>
      </c>
      <c r="F127" s="8">
        <v>42.0</v>
      </c>
      <c r="G127" s="8">
        <v>30.0</v>
      </c>
      <c r="H127" s="8">
        <v>25.0</v>
      </c>
      <c r="I127" s="8">
        <v>102.0</v>
      </c>
    </row>
    <row r="128" ht="15.75" customHeight="1">
      <c r="A128" s="16" t="s">
        <v>117</v>
      </c>
      <c r="B128" s="17">
        <f t="shared" ref="B128:I128" si="24">+B111+B115+B119+B123+B127</f>
        <v>28701</v>
      </c>
      <c r="C128" s="17">
        <f t="shared" si="24"/>
        <v>30507</v>
      </c>
      <c r="D128" s="17">
        <f t="shared" si="24"/>
        <v>32233</v>
      </c>
      <c r="E128" s="17">
        <f t="shared" si="24"/>
        <v>34485</v>
      </c>
      <c r="F128" s="17">
        <f t="shared" si="24"/>
        <v>37218</v>
      </c>
      <c r="G128" s="17">
        <f t="shared" si="24"/>
        <v>35568</v>
      </c>
      <c r="H128" s="17">
        <f t="shared" si="24"/>
        <v>42293</v>
      </c>
      <c r="I128" s="17">
        <f t="shared" si="24"/>
        <v>44436</v>
      </c>
      <c r="K128" s="12">
        <f>B129+B130+B132+B131-B134</f>
        <v>30807</v>
      </c>
    </row>
    <row r="129" ht="15.75" customHeight="1">
      <c r="A129" s="13" t="s">
        <v>118</v>
      </c>
      <c r="B129" s="29">
        <v>1982.0</v>
      </c>
      <c r="C129" s="29">
        <v>1955.0</v>
      </c>
      <c r="D129" s="29">
        <v>2042.0</v>
      </c>
      <c r="E129" s="29">
        <v>1886.0</v>
      </c>
      <c r="F129" s="29">
        <v>1906.0</v>
      </c>
      <c r="G129" s="29">
        <v>1846.0</v>
      </c>
      <c r="H129" s="8">
        <f t="shared" ref="H129:I129" si="25">+SUM(H130:H133)</f>
        <v>2205</v>
      </c>
      <c r="I129" s="8">
        <f t="shared" si="25"/>
        <v>2346</v>
      </c>
    </row>
    <row r="130" ht="15.75" customHeight="1">
      <c r="A130" s="13" t="s">
        <v>110</v>
      </c>
      <c r="B130" s="8">
        <f t="shared" ref="B130:G130" si="26">B112+B116+B120+B124</f>
        <v>18318</v>
      </c>
      <c r="C130" s="8">
        <f t="shared" si="26"/>
        <v>19871</v>
      </c>
      <c r="D130" s="8">
        <f t="shared" si="26"/>
        <v>21081</v>
      </c>
      <c r="E130" s="8">
        <f t="shared" si="26"/>
        <v>22268</v>
      </c>
      <c r="F130" s="8">
        <f t="shared" si="26"/>
        <v>24222</v>
      </c>
      <c r="G130" s="8">
        <f t="shared" si="26"/>
        <v>23305</v>
      </c>
      <c r="H130" s="8">
        <v>1986.0</v>
      </c>
      <c r="I130" s="8">
        <v>2094.0</v>
      </c>
      <c r="L130" s="8"/>
    </row>
    <row r="131" ht="15.75" customHeight="1">
      <c r="A131" s="13" t="s">
        <v>111</v>
      </c>
      <c r="B131" s="8">
        <f t="shared" ref="B131:C131" si="27">+B113+B117+B121+B125</f>
        <v>8637</v>
      </c>
      <c r="C131" s="8">
        <f t="shared" si="27"/>
        <v>9067</v>
      </c>
      <c r="D131" s="8">
        <f t="shared" ref="D131:G131" si="28">D113+D117+D121+D125</f>
        <v>9654</v>
      </c>
      <c r="E131" s="8">
        <f t="shared" si="28"/>
        <v>10733</v>
      </c>
      <c r="F131" s="8">
        <f t="shared" si="28"/>
        <v>11550</v>
      </c>
      <c r="G131" s="8">
        <f t="shared" si="28"/>
        <v>10953</v>
      </c>
      <c r="H131" s="8">
        <v>104.0</v>
      </c>
      <c r="I131" s="8">
        <v>103.0</v>
      </c>
    </row>
    <row r="132" ht="15.75" customHeight="1">
      <c r="A132" s="13" t="s">
        <v>112</v>
      </c>
      <c r="B132" s="8">
        <f>B114+B118+B122+B125</f>
        <v>1788</v>
      </c>
      <c r="C132" s="8">
        <f t="shared" ref="C132:F132" si="29">C114+C118+C122+C126</f>
        <v>1496</v>
      </c>
      <c r="D132" s="8">
        <f t="shared" si="29"/>
        <v>1425</v>
      </c>
      <c r="E132" s="8">
        <f t="shared" si="29"/>
        <v>1396</v>
      </c>
      <c r="F132" s="8">
        <f t="shared" si="29"/>
        <v>1404</v>
      </c>
      <c r="G132" s="8">
        <f>+G114+G118+G122+G126</f>
        <v>1280</v>
      </c>
      <c r="H132" s="8">
        <v>29.0</v>
      </c>
      <c r="I132" s="8">
        <v>26.0</v>
      </c>
    </row>
    <row r="133" ht="15.75" customHeight="1">
      <c r="A133" s="13" t="s">
        <v>119</v>
      </c>
      <c r="B133" s="8">
        <v>0.0</v>
      </c>
      <c r="C133" s="8">
        <v>0.0</v>
      </c>
      <c r="D133" s="8">
        <v>0.0</v>
      </c>
      <c r="E133" s="8">
        <v>103.0</v>
      </c>
      <c r="F133" s="8">
        <v>106.0</v>
      </c>
      <c r="G133" s="8">
        <v>90.0</v>
      </c>
      <c r="H133" s="8">
        <v>86.0</v>
      </c>
      <c r="I133" s="8">
        <v>123.0</v>
      </c>
    </row>
    <row r="134" ht="15.75" customHeight="1">
      <c r="A134" s="13" t="s">
        <v>120</v>
      </c>
      <c r="B134" s="8">
        <v>-82.0</v>
      </c>
      <c r="C134" s="8">
        <v>-86.0</v>
      </c>
      <c r="D134" s="8">
        <v>75.0</v>
      </c>
      <c r="E134" s="8">
        <v>26.0</v>
      </c>
      <c r="F134" s="8">
        <v>-7.0</v>
      </c>
      <c r="G134" s="8">
        <v>-11.0</v>
      </c>
      <c r="H134" s="8">
        <v>40.0</v>
      </c>
      <c r="I134" s="8">
        <v>-72.0</v>
      </c>
    </row>
    <row r="135" ht="15.75" customHeight="1">
      <c r="A135" s="18" t="s">
        <v>121</v>
      </c>
      <c r="B135" s="19">
        <f t="shared" ref="B135:I135" si="30">+B128+B129+B134</f>
        <v>30601</v>
      </c>
      <c r="C135" s="19">
        <f t="shared" si="30"/>
        <v>32376</v>
      </c>
      <c r="D135" s="19">
        <f t="shared" si="30"/>
        <v>34350</v>
      </c>
      <c r="E135" s="19">
        <f t="shared" si="30"/>
        <v>36397</v>
      </c>
      <c r="F135" s="19">
        <f t="shared" si="30"/>
        <v>39117</v>
      </c>
      <c r="G135" s="19">
        <f t="shared" si="30"/>
        <v>37403</v>
      </c>
      <c r="H135" s="19">
        <f t="shared" si="30"/>
        <v>44538</v>
      </c>
      <c r="I135" s="19">
        <f t="shared" si="30"/>
        <v>46710</v>
      </c>
    </row>
    <row r="136" ht="15.75" customHeight="1">
      <c r="A136" s="21" t="s">
        <v>122</v>
      </c>
      <c r="B136" s="22">
        <f>+I135-I2</f>
        <v>0</v>
      </c>
      <c r="C136" s="22">
        <f t="shared" ref="C136:I136" si="31">+C135-C2</f>
        <v>0</v>
      </c>
      <c r="D136" s="22">
        <f t="shared" si="31"/>
        <v>0</v>
      </c>
      <c r="E136" s="22">
        <f t="shared" si="31"/>
        <v>0</v>
      </c>
      <c r="F136" s="22">
        <f t="shared" si="31"/>
        <v>0</v>
      </c>
      <c r="G136" s="22">
        <f t="shared" si="31"/>
        <v>0</v>
      </c>
      <c r="H136" s="22">
        <f t="shared" si="31"/>
        <v>0</v>
      </c>
      <c r="I136" s="22">
        <f t="shared" si="31"/>
        <v>0</v>
      </c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15.75" customHeight="1">
      <c r="A137" s="11" t="s">
        <v>123</v>
      </c>
    </row>
    <row r="138" ht="15.75" customHeight="1">
      <c r="A138" s="13" t="s">
        <v>109</v>
      </c>
      <c r="B138" s="8">
        <v>3645.0</v>
      </c>
      <c r="C138" s="8">
        <v>3763.0</v>
      </c>
      <c r="D138" s="8">
        <v>3875.0</v>
      </c>
      <c r="E138" s="8">
        <v>3600.0</v>
      </c>
      <c r="F138" s="8">
        <v>3925.0</v>
      </c>
      <c r="G138" s="8">
        <v>2899.0</v>
      </c>
      <c r="H138" s="8">
        <v>5089.0</v>
      </c>
      <c r="I138" s="8">
        <v>5114.0</v>
      </c>
    </row>
    <row r="139" ht="15.75" customHeight="1">
      <c r="A139" s="13" t="s">
        <v>113</v>
      </c>
      <c r="B139" s="8">
        <f>1275+249+818</f>
        <v>2342</v>
      </c>
      <c r="C139" s="8">
        <v>1787.0</v>
      </c>
      <c r="D139" s="8">
        <v>1507.0</v>
      </c>
      <c r="E139" s="8">
        <v>1587.0</v>
      </c>
      <c r="F139" s="8">
        <v>1995.0</v>
      </c>
      <c r="G139" s="8">
        <v>1541.0</v>
      </c>
      <c r="H139" s="8">
        <v>2435.0</v>
      </c>
      <c r="I139" s="8">
        <v>3293.0</v>
      </c>
    </row>
    <row r="140" ht="15.75" customHeight="1">
      <c r="A140" s="13" t="s">
        <v>114</v>
      </c>
      <c r="B140" s="8">
        <v>993.0</v>
      </c>
      <c r="C140" s="8">
        <v>1372.0</v>
      </c>
      <c r="D140" s="8">
        <v>1507.0</v>
      </c>
      <c r="E140" s="8">
        <v>1807.0</v>
      </c>
      <c r="F140" s="8">
        <v>2376.0</v>
      </c>
      <c r="G140" s="8">
        <v>2490.0</v>
      </c>
      <c r="H140" s="8">
        <v>3243.0</v>
      </c>
      <c r="I140" s="8">
        <v>2365.0</v>
      </c>
    </row>
    <row r="141" ht="15.75" customHeight="1">
      <c r="A141" s="13" t="s">
        <v>115</v>
      </c>
      <c r="B141" s="8">
        <v>100.0</v>
      </c>
      <c r="C141" s="8">
        <v>1002.0</v>
      </c>
      <c r="D141" s="8">
        <v>980.0</v>
      </c>
      <c r="E141" s="8">
        <v>1189.0</v>
      </c>
      <c r="F141" s="8">
        <v>1323.0</v>
      </c>
      <c r="G141" s="8">
        <v>1184.0</v>
      </c>
      <c r="H141" s="8">
        <v>1530.0</v>
      </c>
      <c r="I141" s="8">
        <v>1896.0</v>
      </c>
    </row>
    <row r="142" ht="15.75" customHeight="1">
      <c r="A142" s="13" t="s">
        <v>116</v>
      </c>
      <c r="B142" s="8">
        <v>-2267.0</v>
      </c>
      <c r="C142" s="8">
        <v>-2596.0</v>
      </c>
      <c r="D142" s="8">
        <v>-2677.0</v>
      </c>
      <c r="E142" s="8">
        <v>-2658.0</v>
      </c>
      <c r="F142" s="8">
        <v>-3262.0</v>
      </c>
      <c r="G142" s="8">
        <v>-3468.0</v>
      </c>
      <c r="H142" s="8">
        <v>-3656.0</v>
      </c>
      <c r="I142" s="8">
        <v>-4262.0</v>
      </c>
    </row>
    <row r="143" ht="15.75" customHeight="1">
      <c r="A143" s="16" t="s">
        <v>117</v>
      </c>
      <c r="B143" s="17">
        <f t="shared" ref="B143:I143" si="32">+SUM(B138:B142)</f>
        <v>4813</v>
      </c>
      <c r="C143" s="17">
        <f t="shared" si="32"/>
        <v>5328</v>
      </c>
      <c r="D143" s="17">
        <f t="shared" si="32"/>
        <v>5192</v>
      </c>
      <c r="E143" s="17">
        <f t="shared" si="32"/>
        <v>5525</v>
      </c>
      <c r="F143" s="17">
        <f t="shared" si="32"/>
        <v>6357</v>
      </c>
      <c r="G143" s="17">
        <f t="shared" si="32"/>
        <v>4646</v>
      </c>
      <c r="H143" s="17">
        <f t="shared" si="32"/>
        <v>8641</v>
      </c>
      <c r="I143" s="17">
        <f t="shared" si="32"/>
        <v>8406</v>
      </c>
    </row>
    <row r="144" ht="15.75" customHeight="1">
      <c r="A144" s="13" t="s">
        <v>118</v>
      </c>
      <c r="B144" s="8">
        <v>517.0</v>
      </c>
      <c r="C144" s="8">
        <v>487.0</v>
      </c>
      <c r="D144" s="8">
        <v>477.0</v>
      </c>
      <c r="E144" s="8">
        <v>310.0</v>
      </c>
      <c r="F144" s="8">
        <v>303.0</v>
      </c>
      <c r="G144" s="8">
        <v>297.0</v>
      </c>
      <c r="H144" s="8">
        <v>543.0</v>
      </c>
      <c r="I144" s="8">
        <v>669.0</v>
      </c>
    </row>
    <row r="145" ht="15.75" customHeight="1">
      <c r="A145" s="13" t="s">
        <v>120</v>
      </c>
      <c r="B145" s="8">
        <v>-1097.0</v>
      </c>
      <c r="C145" s="8">
        <v>-1173.0</v>
      </c>
      <c r="D145" s="8">
        <v>-724.0</v>
      </c>
      <c r="E145" s="8">
        <v>-1456.0</v>
      </c>
      <c r="F145" s="8">
        <v>-1810.0</v>
      </c>
      <c r="G145" s="8">
        <v>-1967.0</v>
      </c>
      <c r="H145" s="8">
        <v>-2261.0</v>
      </c>
      <c r="I145" s="8">
        <v>-2219.0</v>
      </c>
    </row>
    <row r="146" ht="15.75" customHeight="1">
      <c r="A146" s="18" t="s">
        <v>124</v>
      </c>
      <c r="B146" s="19">
        <f t="shared" ref="B146:I146" si="33">+SUM(B143:B145)</f>
        <v>4233</v>
      </c>
      <c r="C146" s="19">
        <f t="shared" si="33"/>
        <v>4642</v>
      </c>
      <c r="D146" s="19">
        <f t="shared" si="33"/>
        <v>4945</v>
      </c>
      <c r="E146" s="19">
        <f t="shared" si="33"/>
        <v>4379</v>
      </c>
      <c r="F146" s="19">
        <f t="shared" si="33"/>
        <v>4850</v>
      </c>
      <c r="G146" s="19">
        <f t="shared" si="33"/>
        <v>2976</v>
      </c>
      <c r="H146" s="19">
        <f t="shared" si="33"/>
        <v>6923</v>
      </c>
      <c r="I146" s="19">
        <f t="shared" si="33"/>
        <v>6856</v>
      </c>
    </row>
    <row r="147" ht="15.75" customHeight="1">
      <c r="A147" s="21" t="s">
        <v>122</v>
      </c>
      <c r="B147" s="22">
        <f t="shared" ref="B147:I147" si="34">+B146-B10-B8</f>
        <v>0</v>
      </c>
      <c r="C147" s="22">
        <f t="shared" si="34"/>
        <v>0</v>
      </c>
      <c r="D147" s="22">
        <f t="shared" si="34"/>
        <v>0</v>
      </c>
      <c r="E147" s="22">
        <f t="shared" si="34"/>
        <v>0</v>
      </c>
      <c r="F147" s="22">
        <f t="shared" si="34"/>
        <v>0</v>
      </c>
      <c r="G147" s="22">
        <f t="shared" si="34"/>
        <v>0</v>
      </c>
      <c r="H147" s="22">
        <f t="shared" si="34"/>
        <v>0</v>
      </c>
      <c r="I147" s="22">
        <f t="shared" si="34"/>
        <v>0</v>
      </c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15.75" customHeight="1">
      <c r="A148" s="11" t="s">
        <v>125</v>
      </c>
    </row>
    <row r="149" ht="15.75" customHeight="1">
      <c r="A149" s="13" t="s">
        <v>109</v>
      </c>
      <c r="B149" s="8">
        <v>632.0</v>
      </c>
      <c r="C149" s="8">
        <v>742.0</v>
      </c>
      <c r="D149" s="8">
        <v>819.0</v>
      </c>
      <c r="E149" s="8">
        <v>848.0</v>
      </c>
      <c r="F149" s="8">
        <v>814.0</v>
      </c>
      <c r="G149" s="8">
        <v>645.0</v>
      </c>
      <c r="H149" s="8">
        <v>617.0</v>
      </c>
      <c r="I149" s="8">
        <v>639.0</v>
      </c>
    </row>
    <row r="150" ht="15.75" customHeight="1">
      <c r="A150" s="13" t="s">
        <v>113</v>
      </c>
      <c r="B150" s="8">
        <f>451+47+103</f>
        <v>601</v>
      </c>
      <c r="C150" s="8">
        <f>589+50+109</f>
        <v>748</v>
      </c>
      <c r="D150" s="8">
        <v>709.0</v>
      </c>
      <c r="E150" s="8">
        <v>849.0</v>
      </c>
      <c r="F150" s="8">
        <v>929.0</v>
      </c>
      <c r="G150" s="8">
        <v>885.0</v>
      </c>
      <c r="H150" s="8">
        <v>982.0</v>
      </c>
      <c r="I150" s="8">
        <v>920.0</v>
      </c>
    </row>
    <row r="151" ht="15.75" customHeight="1">
      <c r="A151" s="13" t="s">
        <v>114</v>
      </c>
      <c r="B151" s="8">
        <v>254.0</v>
      </c>
      <c r="C151" s="8">
        <v>234.0</v>
      </c>
      <c r="D151" s="8">
        <v>225.0</v>
      </c>
      <c r="E151" s="8">
        <v>256.0</v>
      </c>
      <c r="F151" s="8">
        <v>237.0</v>
      </c>
      <c r="G151" s="8">
        <v>214.0</v>
      </c>
      <c r="H151" s="8">
        <v>288.0</v>
      </c>
      <c r="I151" s="8">
        <v>303.0</v>
      </c>
    </row>
    <row r="152" ht="15.75" customHeight="1">
      <c r="A152" s="13" t="s">
        <v>126</v>
      </c>
      <c r="B152" s="8">
        <v>205.0</v>
      </c>
      <c r="C152" s="8">
        <v>223.0</v>
      </c>
      <c r="D152" s="8">
        <v>340.0</v>
      </c>
      <c r="E152" s="8">
        <v>339.0</v>
      </c>
      <c r="F152" s="8">
        <v>326.0</v>
      </c>
      <c r="G152" s="8">
        <v>296.0</v>
      </c>
      <c r="H152" s="8">
        <v>304.0</v>
      </c>
      <c r="I152" s="8">
        <v>274.0</v>
      </c>
    </row>
    <row r="153" ht="15.75" customHeight="1">
      <c r="A153" s="13" t="s">
        <v>116</v>
      </c>
      <c r="B153" s="8">
        <v>484.0</v>
      </c>
      <c r="C153" s="8">
        <v>511.0</v>
      </c>
      <c r="D153" s="8">
        <v>533.0</v>
      </c>
      <c r="E153" s="8">
        <v>597.0</v>
      </c>
      <c r="F153" s="8">
        <v>665.0</v>
      </c>
      <c r="G153" s="8">
        <v>830.0</v>
      </c>
      <c r="H153" s="8">
        <v>780.0</v>
      </c>
      <c r="I153" s="8">
        <v>789.0</v>
      </c>
    </row>
    <row r="154" ht="15.75" customHeight="1">
      <c r="A154" s="16" t="s">
        <v>127</v>
      </c>
      <c r="B154" s="17">
        <f t="shared" ref="B154:I154" si="35">+SUM(B149:B153)</f>
        <v>2176</v>
      </c>
      <c r="C154" s="17">
        <f t="shared" si="35"/>
        <v>2458</v>
      </c>
      <c r="D154" s="17">
        <f t="shared" si="35"/>
        <v>2626</v>
      </c>
      <c r="E154" s="17">
        <f t="shared" si="35"/>
        <v>2889</v>
      </c>
      <c r="F154" s="17">
        <f t="shared" si="35"/>
        <v>2971</v>
      </c>
      <c r="G154" s="17">
        <f t="shared" si="35"/>
        <v>2870</v>
      </c>
      <c r="H154" s="17">
        <f t="shared" si="35"/>
        <v>2971</v>
      </c>
      <c r="I154" s="17">
        <f t="shared" si="35"/>
        <v>2925</v>
      </c>
    </row>
    <row r="155" ht="15.75" customHeight="1">
      <c r="A155" s="13" t="s">
        <v>118</v>
      </c>
      <c r="B155" s="8">
        <v>122.0</v>
      </c>
      <c r="C155" s="8">
        <v>125.0</v>
      </c>
      <c r="D155" s="8">
        <v>125.0</v>
      </c>
      <c r="E155" s="8">
        <v>115.0</v>
      </c>
      <c r="F155" s="8">
        <v>100.0</v>
      </c>
      <c r="G155" s="8">
        <v>80.0</v>
      </c>
      <c r="H155" s="8">
        <v>63.0</v>
      </c>
      <c r="I155" s="8">
        <v>49.0</v>
      </c>
    </row>
    <row r="156" ht="15.75" customHeight="1">
      <c r="A156" s="13" t="s">
        <v>120</v>
      </c>
      <c r="B156" s="8">
        <v>713.0</v>
      </c>
      <c r="C156" s="8">
        <v>937.0</v>
      </c>
      <c r="D156" s="8">
        <v>1238.0</v>
      </c>
      <c r="E156" s="8">
        <v>1450.0</v>
      </c>
      <c r="F156" s="8">
        <v>1673.0</v>
      </c>
      <c r="G156" s="8">
        <v>1916.0</v>
      </c>
      <c r="H156" s="8">
        <v>1870.0</v>
      </c>
      <c r="I156" s="8">
        <v>1817.0</v>
      </c>
    </row>
    <row r="157" ht="15.75" customHeight="1">
      <c r="A157" s="18" t="s">
        <v>128</v>
      </c>
      <c r="B157" s="19">
        <f t="shared" ref="B157:I157" si="36">+SUM(B154:B156)</f>
        <v>3011</v>
      </c>
      <c r="C157" s="19">
        <f t="shared" si="36"/>
        <v>3520</v>
      </c>
      <c r="D157" s="19">
        <f t="shared" si="36"/>
        <v>3989</v>
      </c>
      <c r="E157" s="19">
        <f t="shared" si="36"/>
        <v>4454</v>
      </c>
      <c r="F157" s="19">
        <f t="shared" si="36"/>
        <v>4744</v>
      </c>
      <c r="G157" s="19">
        <f t="shared" si="36"/>
        <v>4866</v>
      </c>
      <c r="H157" s="19">
        <f t="shared" si="36"/>
        <v>4904</v>
      </c>
      <c r="I157" s="19">
        <f t="shared" si="36"/>
        <v>4791</v>
      </c>
    </row>
    <row r="158" ht="15.75" customHeight="1">
      <c r="A158" s="21" t="s">
        <v>122</v>
      </c>
      <c r="B158" s="22">
        <f t="shared" ref="B158:I158" si="37">+B157-B31</f>
        <v>0</v>
      </c>
      <c r="C158" s="22">
        <f t="shared" si="37"/>
        <v>0</v>
      </c>
      <c r="D158" s="22">
        <f t="shared" si="37"/>
        <v>0</v>
      </c>
      <c r="E158" s="22">
        <f t="shared" si="37"/>
        <v>0</v>
      </c>
      <c r="F158" s="22">
        <f t="shared" si="37"/>
        <v>0</v>
      </c>
      <c r="G158" s="22">
        <f t="shared" si="37"/>
        <v>-20</v>
      </c>
      <c r="H158" s="22">
        <f t="shared" si="37"/>
        <v>0</v>
      </c>
      <c r="I158" s="22">
        <f t="shared" si="37"/>
        <v>0</v>
      </c>
    </row>
    <row r="159" ht="15.75" customHeight="1">
      <c r="A159" s="11" t="s">
        <v>129</v>
      </c>
    </row>
    <row r="160" ht="15.75" customHeight="1">
      <c r="A160" s="13" t="s">
        <v>109</v>
      </c>
      <c r="B160" s="8">
        <v>208.0</v>
      </c>
      <c r="C160" s="8">
        <v>242.0</v>
      </c>
      <c r="D160" s="8">
        <v>223.0</v>
      </c>
      <c r="E160" s="8">
        <v>196.0</v>
      </c>
      <c r="F160" s="8">
        <v>117.0</v>
      </c>
      <c r="G160" s="8">
        <v>110.0</v>
      </c>
      <c r="H160" s="8">
        <v>98.0</v>
      </c>
      <c r="I160" s="8">
        <v>146.0</v>
      </c>
    </row>
    <row r="161" ht="15.75" customHeight="1">
      <c r="A161" s="13" t="s">
        <v>113</v>
      </c>
      <c r="B161" s="8">
        <f>216+20+37</f>
        <v>273</v>
      </c>
      <c r="C161" s="8">
        <v>234.0</v>
      </c>
      <c r="D161" s="8">
        <v>173.0</v>
      </c>
      <c r="E161" s="8">
        <v>240.0</v>
      </c>
      <c r="F161" s="8">
        <v>233.0</v>
      </c>
      <c r="G161" s="8">
        <v>139.0</v>
      </c>
      <c r="H161" s="8">
        <v>153.0</v>
      </c>
      <c r="I161" s="8">
        <v>197.0</v>
      </c>
    </row>
    <row r="162" ht="15.75" customHeight="1">
      <c r="A162" s="13" t="s">
        <v>114</v>
      </c>
      <c r="B162" s="8">
        <v>69.0</v>
      </c>
      <c r="C162" s="8">
        <v>44.0</v>
      </c>
      <c r="D162" s="8">
        <v>51.0</v>
      </c>
      <c r="E162" s="8">
        <v>76.0</v>
      </c>
      <c r="F162" s="8">
        <v>49.0</v>
      </c>
      <c r="G162" s="8">
        <v>28.0</v>
      </c>
      <c r="H162" s="8">
        <v>94.0</v>
      </c>
      <c r="I162" s="8">
        <v>78.0</v>
      </c>
    </row>
    <row r="163" ht="15.75" customHeight="1">
      <c r="A163" s="13" t="s">
        <v>126</v>
      </c>
      <c r="B163" s="8">
        <v>15.0</v>
      </c>
      <c r="C163" s="8">
        <v>62.0</v>
      </c>
      <c r="D163" s="8">
        <v>59.0</v>
      </c>
      <c r="E163" s="8">
        <v>49.0</v>
      </c>
      <c r="F163" s="8">
        <v>47.0</v>
      </c>
      <c r="G163" s="8">
        <v>41.0</v>
      </c>
      <c r="H163" s="8">
        <v>54.0</v>
      </c>
      <c r="I163" s="8">
        <v>56.0</v>
      </c>
    </row>
    <row r="164" ht="15.75" customHeight="1">
      <c r="A164" s="13" t="s">
        <v>116</v>
      </c>
      <c r="B164" s="8">
        <v>225.0</v>
      </c>
      <c r="C164" s="8">
        <v>258.0</v>
      </c>
      <c r="D164" s="8">
        <v>278.0</v>
      </c>
      <c r="E164" s="8">
        <v>286.0</v>
      </c>
      <c r="F164" s="8">
        <v>278.0</v>
      </c>
      <c r="G164" s="8">
        <v>438.0</v>
      </c>
      <c r="H164" s="8">
        <v>278.0</v>
      </c>
      <c r="I164" s="8">
        <v>222.0</v>
      </c>
    </row>
    <row r="165" ht="15.75" customHeight="1">
      <c r="A165" s="16" t="s">
        <v>127</v>
      </c>
      <c r="B165" s="17">
        <f t="shared" ref="B165:I165" si="38">+SUM(B160:B164)</f>
        <v>790</v>
      </c>
      <c r="C165" s="17">
        <f t="shared" si="38"/>
        <v>840</v>
      </c>
      <c r="D165" s="17">
        <f t="shared" si="38"/>
        <v>784</v>
      </c>
      <c r="E165" s="17">
        <f t="shared" si="38"/>
        <v>847</v>
      </c>
      <c r="F165" s="17">
        <f t="shared" si="38"/>
        <v>724</v>
      </c>
      <c r="G165" s="17">
        <f t="shared" si="38"/>
        <v>756</v>
      </c>
      <c r="H165" s="17">
        <f t="shared" si="38"/>
        <v>677</v>
      </c>
      <c r="I165" s="17">
        <f t="shared" si="38"/>
        <v>699</v>
      </c>
    </row>
    <row r="166" ht="15.75" customHeight="1">
      <c r="A166" s="13" t="s">
        <v>118</v>
      </c>
      <c r="B166" s="8">
        <v>69.0</v>
      </c>
      <c r="C166" s="8">
        <v>39.0</v>
      </c>
      <c r="D166" s="8">
        <v>30.0</v>
      </c>
      <c r="E166" s="8">
        <v>22.0</v>
      </c>
      <c r="F166" s="8">
        <v>18.0</v>
      </c>
      <c r="G166" s="8">
        <v>12.0</v>
      </c>
      <c r="H166" s="8">
        <v>7.0</v>
      </c>
      <c r="I166" s="8">
        <v>9.0</v>
      </c>
    </row>
    <row r="167" ht="15.75" customHeight="1">
      <c r="A167" s="13" t="s">
        <v>120</v>
      </c>
      <c r="B167" s="8">
        <f t="shared" ref="B167:I167" si="39">-(SUM(B165:B166)+B82)</f>
        <v>104</v>
      </c>
      <c r="C167" s="8">
        <f t="shared" si="39"/>
        <v>264</v>
      </c>
      <c r="D167" s="8">
        <f t="shared" si="39"/>
        <v>291</v>
      </c>
      <c r="E167" s="8">
        <f t="shared" si="39"/>
        <v>159</v>
      </c>
      <c r="F167" s="8">
        <f t="shared" si="39"/>
        <v>377</v>
      </c>
      <c r="G167" s="8">
        <f t="shared" si="39"/>
        <v>318</v>
      </c>
      <c r="H167" s="8">
        <f t="shared" si="39"/>
        <v>11</v>
      </c>
      <c r="I167" s="8">
        <f t="shared" si="39"/>
        <v>50</v>
      </c>
    </row>
    <row r="168" ht="15.75" customHeight="1">
      <c r="A168" s="18" t="s">
        <v>130</v>
      </c>
      <c r="B168" s="19">
        <f t="shared" ref="B168:I168" si="40">+SUM(B165:B167)</f>
        <v>963</v>
      </c>
      <c r="C168" s="19">
        <f t="shared" si="40"/>
        <v>1143</v>
      </c>
      <c r="D168" s="19">
        <f t="shared" si="40"/>
        <v>1105</v>
      </c>
      <c r="E168" s="19">
        <f t="shared" si="40"/>
        <v>1028</v>
      </c>
      <c r="F168" s="19">
        <f t="shared" si="40"/>
        <v>1119</v>
      </c>
      <c r="G168" s="19">
        <f t="shared" si="40"/>
        <v>1086</v>
      </c>
      <c r="H168" s="19">
        <f t="shared" si="40"/>
        <v>695</v>
      </c>
      <c r="I168" s="19">
        <f t="shared" si="40"/>
        <v>758</v>
      </c>
    </row>
    <row r="169" ht="15.75" customHeight="1">
      <c r="A169" s="21" t="s">
        <v>122</v>
      </c>
      <c r="B169" s="22">
        <f t="shared" ref="B169:I169" si="41">+B168+B82</f>
        <v>0</v>
      </c>
      <c r="C169" s="22">
        <f t="shared" si="41"/>
        <v>0</v>
      </c>
      <c r="D169" s="22">
        <f t="shared" si="41"/>
        <v>0</v>
      </c>
      <c r="E169" s="22">
        <f t="shared" si="41"/>
        <v>0</v>
      </c>
      <c r="F169" s="22">
        <f t="shared" si="41"/>
        <v>0</v>
      </c>
      <c r="G169" s="22">
        <f t="shared" si="41"/>
        <v>0</v>
      </c>
      <c r="H169" s="22">
        <f t="shared" si="41"/>
        <v>0</v>
      </c>
      <c r="I169" s="22">
        <f t="shared" si="41"/>
        <v>0</v>
      </c>
    </row>
    <row r="170" ht="15.75" customHeight="1">
      <c r="A170" s="11" t="s">
        <v>131</v>
      </c>
    </row>
    <row r="171" ht="15.75" customHeight="1">
      <c r="A171" s="13" t="s">
        <v>109</v>
      </c>
      <c r="B171" s="8">
        <v>121.0</v>
      </c>
      <c r="C171" s="8">
        <v>133.0</v>
      </c>
      <c r="D171" s="8">
        <v>140.0</v>
      </c>
      <c r="E171" s="8">
        <v>160.0</v>
      </c>
      <c r="F171" s="8">
        <v>149.0</v>
      </c>
      <c r="G171" s="8">
        <v>148.0</v>
      </c>
      <c r="H171" s="8">
        <v>130.0</v>
      </c>
      <c r="I171" s="8">
        <v>124.0</v>
      </c>
    </row>
    <row r="172" ht="15.75" customHeight="1">
      <c r="A172" s="13" t="s">
        <v>113</v>
      </c>
      <c r="B172" s="8">
        <f>75+12+27</f>
        <v>114</v>
      </c>
      <c r="C172" s="8">
        <v>85.0</v>
      </c>
      <c r="D172" s="8">
        <v>106.0</v>
      </c>
      <c r="E172" s="8">
        <v>116.0</v>
      </c>
      <c r="F172" s="8">
        <v>111.0</v>
      </c>
      <c r="G172" s="8">
        <v>132.0</v>
      </c>
      <c r="H172" s="8">
        <v>136.0</v>
      </c>
      <c r="I172" s="8">
        <v>134.0</v>
      </c>
    </row>
    <row r="173" ht="15.75" customHeight="1">
      <c r="A173" s="13" t="s">
        <v>114</v>
      </c>
      <c r="B173" s="8">
        <v>46.0</v>
      </c>
      <c r="C173" s="8">
        <v>48.0</v>
      </c>
      <c r="D173" s="8">
        <v>54.0</v>
      </c>
      <c r="E173" s="8">
        <v>56.0</v>
      </c>
      <c r="F173" s="8">
        <v>50.0</v>
      </c>
      <c r="G173" s="8">
        <v>44.0</v>
      </c>
      <c r="H173" s="8">
        <v>46.0</v>
      </c>
      <c r="I173" s="8">
        <v>41.0</v>
      </c>
    </row>
    <row r="174" ht="15.75" customHeight="1">
      <c r="A174" s="13" t="s">
        <v>115</v>
      </c>
      <c r="B174" s="8">
        <v>22.0</v>
      </c>
      <c r="C174" s="8">
        <v>42.0</v>
      </c>
      <c r="D174" s="8">
        <v>54.0</v>
      </c>
      <c r="E174" s="8">
        <v>55.0</v>
      </c>
      <c r="F174" s="8">
        <v>53.0</v>
      </c>
      <c r="G174" s="8">
        <v>46.0</v>
      </c>
      <c r="H174" s="8">
        <v>43.0</v>
      </c>
      <c r="I174" s="8">
        <v>42.0</v>
      </c>
    </row>
    <row r="175" ht="15.75" customHeight="1">
      <c r="A175" s="13" t="s">
        <v>116</v>
      </c>
      <c r="B175" s="8">
        <v>210.0</v>
      </c>
      <c r="C175" s="8">
        <v>230.0</v>
      </c>
      <c r="D175" s="8">
        <v>233.0</v>
      </c>
      <c r="E175" s="8">
        <v>217.0</v>
      </c>
      <c r="F175" s="8">
        <v>195.0</v>
      </c>
      <c r="G175" s="8">
        <v>214.0</v>
      </c>
      <c r="H175" s="8">
        <v>222.0</v>
      </c>
      <c r="I175" s="8">
        <v>220.0</v>
      </c>
    </row>
    <row r="176" ht="15.75" customHeight="1">
      <c r="A176" s="16" t="s">
        <v>127</v>
      </c>
      <c r="B176" s="17">
        <f t="shared" ref="B176:C176" si="42">+SUM(B171:B175)</f>
        <v>513</v>
      </c>
      <c r="C176" s="17">
        <f t="shared" si="42"/>
        <v>538</v>
      </c>
      <c r="D176" s="17">
        <v>587.0</v>
      </c>
      <c r="E176" s="17">
        <f t="shared" ref="E176:I176" si="43">+SUM(E171:E175)</f>
        <v>604</v>
      </c>
      <c r="F176" s="17">
        <f t="shared" si="43"/>
        <v>558</v>
      </c>
      <c r="G176" s="17">
        <f t="shared" si="43"/>
        <v>584</v>
      </c>
      <c r="H176" s="17">
        <f t="shared" si="43"/>
        <v>577</v>
      </c>
      <c r="I176" s="17">
        <f t="shared" si="43"/>
        <v>561</v>
      </c>
    </row>
    <row r="177" ht="15.75" customHeight="1">
      <c r="A177" s="13" t="s">
        <v>118</v>
      </c>
      <c r="B177" s="8">
        <v>18.0</v>
      </c>
      <c r="C177" s="8">
        <v>27.0</v>
      </c>
      <c r="D177" s="8">
        <v>28.0</v>
      </c>
      <c r="E177" s="8">
        <v>33.0</v>
      </c>
      <c r="F177" s="8">
        <v>31.0</v>
      </c>
      <c r="G177" s="8">
        <v>25.0</v>
      </c>
      <c r="H177" s="8">
        <v>26.0</v>
      </c>
      <c r="I177" s="8">
        <v>22.0</v>
      </c>
    </row>
    <row r="178" ht="15.75" customHeight="1">
      <c r="A178" s="13" t="s">
        <v>120</v>
      </c>
      <c r="B178" s="8">
        <v>75.0</v>
      </c>
      <c r="C178" s="8">
        <v>84.0</v>
      </c>
      <c r="D178" s="8">
        <v>91.0</v>
      </c>
      <c r="E178" s="8">
        <v>110.0</v>
      </c>
      <c r="F178" s="8">
        <v>116.0</v>
      </c>
      <c r="G178" s="8">
        <v>112.0</v>
      </c>
      <c r="H178" s="8">
        <v>141.0</v>
      </c>
      <c r="I178" s="8">
        <v>134.0</v>
      </c>
    </row>
    <row r="179" ht="15.75" customHeight="1">
      <c r="A179" s="18" t="s">
        <v>132</v>
      </c>
      <c r="B179" s="19">
        <f t="shared" ref="B179:I179" si="44">+SUM(B176:B178)</f>
        <v>606</v>
      </c>
      <c r="C179" s="19">
        <f t="shared" si="44"/>
        <v>649</v>
      </c>
      <c r="D179" s="19">
        <f t="shared" si="44"/>
        <v>706</v>
      </c>
      <c r="E179" s="19">
        <f t="shared" si="44"/>
        <v>747</v>
      </c>
      <c r="F179" s="19">
        <f t="shared" si="44"/>
        <v>705</v>
      </c>
      <c r="G179" s="19">
        <f t="shared" si="44"/>
        <v>721</v>
      </c>
      <c r="H179" s="19">
        <f t="shared" si="44"/>
        <v>744</v>
      </c>
      <c r="I179" s="19">
        <f t="shared" si="44"/>
        <v>717</v>
      </c>
    </row>
    <row r="180" ht="15.75" customHeight="1">
      <c r="A180" s="21" t="s">
        <v>122</v>
      </c>
      <c r="B180" s="22">
        <f t="shared" ref="B180:I180" si="45">+B179-B66</f>
        <v>0</v>
      </c>
      <c r="C180" s="22">
        <f t="shared" si="45"/>
        <v>0</v>
      </c>
      <c r="D180" s="22">
        <f t="shared" si="45"/>
        <v>0</v>
      </c>
      <c r="E180" s="22">
        <f t="shared" si="45"/>
        <v>0</v>
      </c>
      <c r="F180" s="22">
        <f t="shared" si="45"/>
        <v>0</v>
      </c>
      <c r="G180" s="22">
        <f t="shared" si="45"/>
        <v>0</v>
      </c>
      <c r="H180" s="22">
        <f t="shared" si="45"/>
        <v>0</v>
      </c>
      <c r="I180" s="22">
        <f t="shared" si="45"/>
        <v>0</v>
      </c>
    </row>
    <row r="181" ht="15.75" customHeight="1">
      <c r="A181" s="23" t="s">
        <v>133</v>
      </c>
      <c r="B181" s="23"/>
      <c r="C181" s="23"/>
      <c r="D181" s="23"/>
      <c r="E181" s="23"/>
      <c r="F181" s="23"/>
      <c r="G181" s="23"/>
      <c r="H181" s="23"/>
      <c r="I181" s="23"/>
    </row>
    <row r="182" ht="15.75" customHeight="1">
      <c r="A182" s="24" t="s">
        <v>134</v>
      </c>
    </row>
    <row r="183" ht="15.75" customHeight="1">
      <c r="A183" s="30" t="s">
        <v>109</v>
      </c>
      <c r="B183" s="31"/>
      <c r="C183" s="32">
        <v>0.0745269286754003</v>
      </c>
      <c r="D183" s="32">
        <v>0.03061500948252506</v>
      </c>
      <c r="E183" s="32">
        <v>-0.024301581958936384</v>
      </c>
      <c r="F183" s="32">
        <v>0.07048131942107035</v>
      </c>
      <c r="G183" s="32">
        <v>-0.08917117343730348</v>
      </c>
      <c r="H183" s="32">
        <v>0.18606738470035902</v>
      </c>
      <c r="I183" s="31">
        <v>0.07</v>
      </c>
    </row>
    <row r="184" ht="15.75" customHeight="1">
      <c r="A184" s="33" t="s">
        <v>110</v>
      </c>
      <c r="B184" s="34"/>
      <c r="C184" s="32">
        <v>0.0932283094286386</v>
      </c>
      <c r="D184" s="32">
        <v>0.04140230132272287</v>
      </c>
      <c r="E184" s="32">
        <v>-0.03738124741842214</v>
      </c>
      <c r="F184" s="32">
        <v>0.07755846384895945</v>
      </c>
      <c r="G184" s="32">
        <v>-0.07127924340467895</v>
      </c>
      <c r="H184" s="32">
        <v>0.24815092721620752</v>
      </c>
      <c r="I184" s="34">
        <v>0.05</v>
      </c>
    </row>
    <row r="185" ht="15.75" customHeight="1">
      <c r="A185" s="33" t="s">
        <v>111</v>
      </c>
      <c r="B185" s="34"/>
      <c r="C185" s="32">
        <v>0.0761904761904762</v>
      </c>
      <c r="D185" s="32">
        <v>0.029498525073746312</v>
      </c>
      <c r="E185" s="32">
        <v>0.010642652476463364</v>
      </c>
      <c r="F185" s="32">
        <v>0.06520858647225597</v>
      </c>
      <c r="G185" s="32">
        <v>-0.11806083650190113</v>
      </c>
      <c r="H185" s="32">
        <v>0.0838542789394266</v>
      </c>
      <c r="I185" s="34">
        <v>0.09</v>
      </c>
    </row>
    <row r="186" ht="15.75" customHeight="1">
      <c r="A186" s="33" t="s">
        <v>112</v>
      </c>
      <c r="B186" s="34"/>
      <c r="C186" s="32">
        <v>-0.12742718446601942</v>
      </c>
      <c r="D186" s="32">
        <v>-0.10152990264255911</v>
      </c>
      <c r="E186" s="32">
        <v>-0.07894736842105263</v>
      </c>
      <c r="F186" s="32">
        <v>0.0033613445378151263</v>
      </c>
      <c r="G186" s="32">
        <v>-0.135678391959799</v>
      </c>
      <c r="H186" s="32">
        <v>-0.01744186046511628</v>
      </c>
      <c r="I186" s="34">
        <v>0.25</v>
      </c>
    </row>
    <row r="187" ht="15.75" customHeight="1">
      <c r="A187" s="30" t="s">
        <v>113</v>
      </c>
      <c r="B187" s="31"/>
      <c r="C187" s="32">
        <v>-0.3134978229317852</v>
      </c>
      <c r="D187" s="32">
        <v>0.0531183932346723</v>
      </c>
      <c r="E187" s="32">
        <v>0.15959849435382686</v>
      </c>
      <c r="F187" s="32">
        <v>0.06167496212940922</v>
      </c>
      <c r="G187" s="32">
        <v>-0.04739094985731757</v>
      </c>
      <c r="H187" s="32">
        <v>0.2256338932277736</v>
      </c>
      <c r="I187" s="31">
        <v>0.12</v>
      </c>
    </row>
    <row r="188" ht="15.75" customHeight="1">
      <c r="A188" s="33" t="s">
        <v>110</v>
      </c>
      <c r="B188" s="34"/>
      <c r="C188" s="32">
        <v>-0.3133169934640523</v>
      </c>
      <c r="D188" s="32">
        <v>0.02954590521514971</v>
      </c>
      <c r="E188" s="32">
        <v>0.13154853620955315</v>
      </c>
      <c r="F188" s="32">
        <v>0.07114893617021277</v>
      </c>
      <c r="G188" s="32">
        <v>-0.06372159542348642</v>
      </c>
      <c r="H188" s="32">
        <v>0.18295994568906992</v>
      </c>
      <c r="I188" s="34">
        <v>0.09</v>
      </c>
    </row>
    <row r="189" ht="15.75" customHeight="1">
      <c r="A189" s="33" t="s">
        <v>111</v>
      </c>
      <c r="B189" s="34"/>
      <c r="C189" s="32">
        <v>-0.3004557291666667</v>
      </c>
      <c r="D189" s="32">
        <v>0.11447184737087017</v>
      </c>
      <c r="E189" s="32">
        <v>0.22755741127348644</v>
      </c>
      <c r="F189" s="32">
        <v>0.05</v>
      </c>
      <c r="G189" s="32">
        <v>-0.01101392938127632</v>
      </c>
      <c r="H189" s="32">
        <v>0.30887651490337376</v>
      </c>
      <c r="I189" s="34">
        <v>0.16</v>
      </c>
    </row>
    <row r="190" ht="15.75" customHeight="1">
      <c r="A190" s="33" t="s">
        <v>112</v>
      </c>
      <c r="B190" s="34"/>
      <c r="C190" s="32">
        <v>-0.3815789473684211</v>
      </c>
      <c r="D190" s="32">
        <v>0.018617021276595744</v>
      </c>
      <c r="E190" s="32">
        <v>0.11488250652741515</v>
      </c>
      <c r="F190" s="32">
        <v>0.0117096018735363</v>
      </c>
      <c r="G190" s="32">
        <v>-0.06944444444444445</v>
      </c>
      <c r="H190" s="32">
        <v>0.21890547263681592</v>
      </c>
      <c r="I190" s="34">
        <v>0.17</v>
      </c>
    </row>
    <row r="191" ht="15.75" customHeight="1">
      <c r="A191" s="30" t="s">
        <v>114</v>
      </c>
      <c r="B191" s="31"/>
      <c r="C191" s="32">
        <v>0.23410498858819692</v>
      </c>
      <c r="D191" s="32">
        <v>0.11941875825627477</v>
      </c>
      <c r="E191" s="32">
        <v>0.21170639603493038</v>
      </c>
      <c r="F191" s="32">
        <v>0.20919361121932217</v>
      </c>
      <c r="G191" s="32">
        <v>0.07586984536082474</v>
      </c>
      <c r="H191" s="32">
        <v>0.24120377301991316</v>
      </c>
      <c r="I191" s="31">
        <v>-0.13</v>
      </c>
    </row>
    <row r="192" ht="15.75" customHeight="1">
      <c r="A192" s="33" t="s">
        <v>110</v>
      </c>
      <c r="B192" s="34"/>
      <c r="C192" s="32">
        <v>0.28918650793650796</v>
      </c>
      <c r="D192" s="32">
        <v>0.12350904193920739</v>
      </c>
      <c r="E192" s="32">
        <v>0.19726027397260273</v>
      </c>
      <c r="F192" s="32">
        <v>0.21910755148741418</v>
      </c>
      <c r="G192" s="32">
        <v>0.08751759737212576</v>
      </c>
      <c r="H192" s="32">
        <v>0.2401294498381877</v>
      </c>
      <c r="I192" s="34">
        <v>-0.1</v>
      </c>
    </row>
    <row r="193" ht="15.75" customHeight="1">
      <c r="A193" s="33" t="s">
        <v>111</v>
      </c>
      <c r="B193" s="34"/>
      <c r="C193" s="32">
        <v>0.14054054054054055</v>
      </c>
      <c r="D193" s="32">
        <v>0.12606635071090047</v>
      </c>
      <c r="E193" s="32">
        <v>0.26936026936026936</v>
      </c>
      <c r="F193" s="32">
        <v>0.1989389920424403</v>
      </c>
      <c r="G193" s="32">
        <v>0.048672566371681415</v>
      </c>
      <c r="H193" s="32">
        <v>0.2378691983122363</v>
      </c>
      <c r="I193" s="34">
        <v>-0.21</v>
      </c>
    </row>
    <row r="194" ht="15.75" customHeight="1">
      <c r="A194" s="33" t="s">
        <v>112</v>
      </c>
      <c r="B194" s="34"/>
      <c r="C194" s="32">
        <v>0.03968253968253968</v>
      </c>
      <c r="D194" s="32">
        <v>-0.015267175572519083</v>
      </c>
      <c r="E194" s="32">
        <v>0.007751937984496124</v>
      </c>
      <c r="F194" s="32">
        <v>0.06153846153846154</v>
      </c>
      <c r="G194" s="32">
        <v>0.07246376811594203</v>
      </c>
      <c r="H194" s="32">
        <v>0.31756756756756754</v>
      </c>
      <c r="I194" s="34">
        <v>-0.06</v>
      </c>
    </row>
    <row r="195" ht="15.75" customHeight="1">
      <c r="A195" s="30" t="s">
        <v>115</v>
      </c>
      <c r="B195" s="31"/>
      <c r="C195" s="32">
        <v>4.717880794701987</v>
      </c>
      <c r="D195" s="32">
        <v>0.09728978457261987</v>
      </c>
      <c r="E195" s="32">
        <v>0.09056364787840405</v>
      </c>
      <c r="F195" s="32">
        <v>0.017034456058846303</v>
      </c>
      <c r="G195" s="32">
        <v>-0.04301484583174724</v>
      </c>
      <c r="H195" s="32">
        <v>0.06264916467780429</v>
      </c>
      <c r="I195" s="31">
        <v>0.16</v>
      </c>
    </row>
    <row r="196" ht="15.75" customHeight="1">
      <c r="A196" s="33" t="s">
        <v>110</v>
      </c>
      <c r="B196" s="34"/>
      <c r="C196" s="32">
        <v>5.482300884955753</v>
      </c>
      <c r="D196" s="32">
        <v>0.12116040955631399</v>
      </c>
      <c r="E196" s="32">
        <v>0.0882800608828006</v>
      </c>
      <c r="F196" s="32">
        <v>0.013146853146853148</v>
      </c>
      <c r="G196" s="32">
        <v>-0.04776366648260629</v>
      </c>
      <c r="H196" s="32">
        <v>0.060887213685126125</v>
      </c>
      <c r="I196" s="34">
        <v>0.17</v>
      </c>
    </row>
    <row r="197" ht="15.75" customHeight="1">
      <c r="A197" s="33" t="s">
        <v>111</v>
      </c>
      <c r="B197" s="34"/>
      <c r="C197" s="32">
        <v>3.856521739130435</v>
      </c>
      <c r="D197" s="32">
        <v>0.06087735004476276</v>
      </c>
      <c r="E197" s="32">
        <v>0.13670886075949368</v>
      </c>
      <c r="F197" s="32">
        <v>0.035634743875278395</v>
      </c>
      <c r="G197" s="32">
        <v>-0.021505376344086023</v>
      </c>
      <c r="H197" s="32">
        <v>0.0945054945054945</v>
      </c>
      <c r="I197" s="34">
        <v>0.12</v>
      </c>
    </row>
    <row r="198" ht="15.75" customHeight="1">
      <c r="A198" s="33" t="s">
        <v>112</v>
      </c>
      <c r="B198" s="34"/>
      <c r="C198" s="32">
        <v>2.6986301369863015</v>
      </c>
      <c r="D198" s="32">
        <v>-0.011111111111111112</v>
      </c>
      <c r="E198" s="32">
        <v>-0.08614232209737828</v>
      </c>
      <c r="F198" s="32">
        <v>-0.028688524590163935</v>
      </c>
      <c r="G198" s="32">
        <v>-0.0970464135021097</v>
      </c>
      <c r="H198" s="32">
        <v>-0.11214953271028037</v>
      </c>
      <c r="I198" s="34">
        <v>0.28</v>
      </c>
    </row>
    <row r="199" ht="15.75" customHeight="1">
      <c r="A199" s="30" t="s">
        <v>116</v>
      </c>
      <c r="B199" s="31"/>
      <c r="C199" s="32">
        <v>-0.3652173913043478</v>
      </c>
      <c r="D199" s="32">
        <v>0.0</v>
      </c>
      <c r="E199" s="32">
        <v>0.2054794520547945</v>
      </c>
      <c r="F199" s="32">
        <v>-0.5227272727272727</v>
      </c>
      <c r="G199" s="32">
        <v>-0.2857142857142857</v>
      </c>
      <c r="H199" s="32">
        <v>-0.16666666666666666</v>
      </c>
      <c r="I199" s="31">
        <v>3.02</v>
      </c>
    </row>
    <row r="200" ht="15.75" customHeight="1">
      <c r="A200" s="35" t="s">
        <v>117</v>
      </c>
      <c r="B200" s="36"/>
      <c r="C200" s="37">
        <v>0.0629246367722379</v>
      </c>
      <c r="D200" s="32">
        <v>0.0565771790080965</v>
      </c>
      <c r="E200" s="32">
        <v>0.06986628610430304</v>
      </c>
      <c r="F200" s="32">
        <v>0.07925184862983906</v>
      </c>
      <c r="G200" s="32">
        <v>-0.04433338707077221</v>
      </c>
      <c r="H200" s="32">
        <v>0.18907444894286998</v>
      </c>
      <c r="I200" s="36">
        <v>0.06</v>
      </c>
    </row>
    <row r="201" ht="15.75" customHeight="1">
      <c r="A201" s="30" t="s">
        <v>118</v>
      </c>
      <c r="B201" s="31"/>
      <c r="C201" s="32">
        <v>-0.013622603430877902</v>
      </c>
      <c r="D201" s="32">
        <v>0.044501278772378514</v>
      </c>
      <c r="E201" s="32">
        <v>-0.07639569049951028</v>
      </c>
      <c r="F201" s="32">
        <v>0.010604453870625663</v>
      </c>
      <c r="G201" s="32">
        <v>-0.03147953830010493</v>
      </c>
      <c r="H201" s="32">
        <v>0.19447453954496208</v>
      </c>
      <c r="I201" s="31">
        <v>0.07</v>
      </c>
    </row>
    <row r="202" ht="15.75" customHeight="1">
      <c r="A202" s="33" t="s">
        <v>110</v>
      </c>
      <c r="B202" s="34"/>
      <c r="C202" s="32">
        <v>0.08477999781635549</v>
      </c>
      <c r="D202" s="32">
        <v>0.0608927582909768</v>
      </c>
      <c r="E202" s="32">
        <v>0.056306626820359564</v>
      </c>
      <c r="F202" s="32">
        <v>0.08774923657266032</v>
      </c>
      <c r="G202" s="32">
        <v>-0.03785814548757328</v>
      </c>
      <c r="H202" s="32">
        <v>-0.9147822355717657</v>
      </c>
      <c r="I202" s="34">
        <v>0.06</v>
      </c>
    </row>
    <row r="203" ht="15.75" customHeight="1">
      <c r="A203" s="33" t="s">
        <v>111</v>
      </c>
      <c r="B203" s="34"/>
      <c r="C203" s="32">
        <v>0.04978580525645479</v>
      </c>
      <c r="D203" s="32">
        <v>0.06474026690195213</v>
      </c>
      <c r="E203" s="32">
        <v>0.11176714315309716</v>
      </c>
      <c r="F203" s="32">
        <v>0.07612037640920526</v>
      </c>
      <c r="G203" s="32">
        <v>-0.051688311688311686</v>
      </c>
      <c r="H203" s="32">
        <v>-0.9905048845065278</v>
      </c>
      <c r="I203" s="34">
        <v>-0.03</v>
      </c>
    </row>
    <row r="204" ht="15.75" customHeight="1">
      <c r="A204" s="33" t="s">
        <v>112</v>
      </c>
      <c r="B204" s="34"/>
      <c r="C204" s="32">
        <v>-0.16331096196868009</v>
      </c>
      <c r="D204" s="32">
        <v>-0.047459893048128345</v>
      </c>
      <c r="E204" s="32">
        <v>-0.020350877192982456</v>
      </c>
      <c r="F204" s="32">
        <v>0.0057306590257879654</v>
      </c>
      <c r="G204" s="32">
        <v>-0.08831908831908832</v>
      </c>
      <c r="H204" s="32">
        <v>-0.97734375</v>
      </c>
      <c r="I204" s="34">
        <v>-0.16</v>
      </c>
    </row>
    <row r="205" ht="15.75" customHeight="1">
      <c r="A205" s="33" t="s">
        <v>119</v>
      </c>
      <c r="B205" s="34"/>
      <c r="C205" s="32">
        <v>0.0</v>
      </c>
      <c r="D205" s="32">
        <v>0.0</v>
      </c>
      <c r="E205" s="32" t="e">
        <v>#DIV/0!</v>
      </c>
      <c r="F205" s="32">
        <v>0.02912621359223301</v>
      </c>
      <c r="G205" s="32">
        <v>-0.1509433962264151</v>
      </c>
      <c r="H205" s="32">
        <v>-0.044444444444444446</v>
      </c>
      <c r="I205" s="34">
        <v>0.42</v>
      </c>
    </row>
    <row r="206" ht="15.75" customHeight="1">
      <c r="A206" s="33" t="s">
        <v>120</v>
      </c>
      <c r="B206" s="34"/>
      <c r="C206" s="32">
        <v>0.04878048780487805</v>
      </c>
      <c r="D206" s="32">
        <v>-1.872093023255814</v>
      </c>
      <c r="E206" s="32">
        <v>-0.6533333333333333</v>
      </c>
      <c r="F206" s="32">
        <v>-1.2692307692307692</v>
      </c>
      <c r="G206" s="32">
        <v>-0.5714285714285714</v>
      </c>
      <c r="H206" s="32">
        <v>-4.636363636363637</v>
      </c>
      <c r="I206" s="34">
        <v>0.0</v>
      </c>
    </row>
    <row r="207" ht="15.75" customHeight="1">
      <c r="A207" s="38" t="s">
        <v>121</v>
      </c>
      <c r="B207" s="39"/>
      <c r="C207" s="37">
        <v>0.058004640371229696</v>
      </c>
      <c r="D207" s="32">
        <v>0.060971089696071165</v>
      </c>
      <c r="E207" s="32">
        <v>0.0595924308588064</v>
      </c>
      <c r="F207" s="32">
        <v>0.07473143390938813</v>
      </c>
      <c r="G207" s="32">
        <v>-0.043817266150267146</v>
      </c>
      <c r="H207" s="32">
        <v>0.1907600994572628</v>
      </c>
      <c r="I207" s="39">
        <v>0.06</v>
      </c>
    </row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86"/>
    <col customWidth="1" min="2" max="14" width="11.86"/>
    <col customWidth="1" min="15" max="26" width="8.86"/>
  </cols>
  <sheetData>
    <row r="1" ht="60.0" customHeight="1">
      <c r="A1" s="5" t="s">
        <v>135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  <c r="J1" s="40">
        <f t="shared" ref="J1:N1" si="2">+I1+1</f>
        <v>2023</v>
      </c>
      <c r="K1" s="40">
        <f t="shared" si="2"/>
        <v>2024</v>
      </c>
      <c r="L1" s="40">
        <f t="shared" si="2"/>
        <v>2025</v>
      </c>
      <c r="M1" s="40">
        <f t="shared" si="2"/>
        <v>2026</v>
      </c>
      <c r="N1" s="40">
        <f t="shared" si="2"/>
        <v>2027</v>
      </c>
    </row>
    <row r="2">
      <c r="A2" s="41" t="s">
        <v>136</v>
      </c>
      <c r="B2" s="41"/>
      <c r="C2" s="41"/>
      <c r="D2" s="41"/>
      <c r="E2" s="41"/>
      <c r="F2" s="41"/>
      <c r="G2" s="41"/>
      <c r="H2" s="41"/>
      <c r="I2" s="41"/>
      <c r="J2" s="40"/>
      <c r="K2" s="40"/>
      <c r="L2" s="40"/>
      <c r="M2" s="40"/>
      <c r="N2" s="40"/>
    </row>
    <row r="3">
      <c r="A3" s="12" t="s">
        <v>137</v>
      </c>
      <c r="B3" s="8">
        <f>+B21+B52+B83+B114+B145+B164+B199</f>
        <v>57362</v>
      </c>
      <c r="C3" s="8">
        <f>C21+C52+C83+C114+C145+C199+C164</f>
        <v>64032</v>
      </c>
      <c r="D3" s="8">
        <f t="shared" ref="D3:N3" si="3">D21+D52+D83+D114+D145+D164+D199</f>
        <v>64468</v>
      </c>
      <c r="E3" s="8">
        <f t="shared" si="3"/>
        <v>69011</v>
      </c>
      <c r="F3" s="8">
        <f t="shared" si="3"/>
        <v>74493</v>
      </c>
      <c r="G3" s="8">
        <f t="shared" si="3"/>
        <v>71507</v>
      </c>
      <c r="H3" s="8">
        <f t="shared" si="3"/>
        <v>44538</v>
      </c>
      <c r="I3" s="8">
        <f t="shared" si="3"/>
        <v>46710</v>
      </c>
      <c r="J3" s="8">
        <f t="shared" si="3"/>
        <v>51149.91</v>
      </c>
      <c r="K3" s="8">
        <f t="shared" si="3"/>
        <v>56238.1178</v>
      </c>
      <c r="L3" s="8">
        <f t="shared" si="3"/>
        <v>62152.21706</v>
      </c>
      <c r="M3" s="8">
        <f t="shared" si="3"/>
        <v>69035.72768</v>
      </c>
      <c r="N3" s="8">
        <f t="shared" si="3"/>
        <v>77060.53514</v>
      </c>
    </row>
    <row r="4">
      <c r="A4" s="42" t="s">
        <v>138</v>
      </c>
      <c r="B4" s="32" t="str">
        <f t="shared" ref="B4:D4" si="4">+IFERROR(B3/A3-1,"nm")</f>
        <v>nm</v>
      </c>
      <c r="C4" s="32">
        <f t="shared" si="4"/>
        <v>0.1162790698</v>
      </c>
      <c r="D4" s="32">
        <f t="shared" si="4"/>
        <v>0.006809095452</v>
      </c>
      <c r="E4" s="32">
        <f t="shared" ref="E4:I4" si="5">+IFERROR(D3/E3-1,"nm")</f>
        <v>-0.06583008506</v>
      </c>
      <c r="F4" s="32">
        <f t="shared" si="5"/>
        <v>-0.07359080719</v>
      </c>
      <c r="G4" s="32">
        <f t="shared" si="5"/>
        <v>0.04175814955</v>
      </c>
      <c r="H4" s="32">
        <f t="shared" si="5"/>
        <v>0.6055278638</v>
      </c>
      <c r="I4" s="32">
        <f t="shared" si="5"/>
        <v>-0.04649967887</v>
      </c>
      <c r="J4" s="43">
        <f t="shared" ref="J4:N4" si="6">+IFERROR(J3/I3-1,"nm")</f>
        <v>0.09505266538</v>
      </c>
      <c r="K4" s="43">
        <f t="shared" si="6"/>
        <v>0.09947637836</v>
      </c>
      <c r="L4" s="43">
        <f t="shared" si="6"/>
        <v>0.1051617567</v>
      </c>
      <c r="M4" s="43">
        <f t="shared" si="6"/>
        <v>0.1107524549</v>
      </c>
      <c r="N4" s="43">
        <f t="shared" si="6"/>
        <v>0.1162413685</v>
      </c>
    </row>
    <row r="5">
      <c r="A5" s="12" t="s">
        <v>139</v>
      </c>
      <c r="B5" s="8">
        <f t="shared" ref="B5:F5" si="7">B35+B66+B97+B128+B147+B182+B201</f>
        <v>4839</v>
      </c>
      <c r="C5" s="8">
        <f t="shared" si="7"/>
        <v>5291</v>
      </c>
      <c r="D5" s="8">
        <f t="shared" si="7"/>
        <v>5644</v>
      </c>
      <c r="E5" s="8">
        <f t="shared" si="7"/>
        <v>5126</v>
      </c>
      <c r="F5" s="8">
        <f t="shared" si="7"/>
        <v>5555</v>
      </c>
      <c r="G5" s="8">
        <f>G35+G66+G97+G128+G147+G182+174</f>
        <v>5726</v>
      </c>
      <c r="H5" s="8">
        <f t="shared" ref="H5:N5" si="8">H35+H66+H97+H128+H147+H182+H201</f>
        <v>7667</v>
      </c>
      <c r="I5" s="8">
        <f t="shared" si="8"/>
        <v>7573</v>
      </c>
      <c r="J5" s="8">
        <f t="shared" si="8"/>
        <v>7843.0171</v>
      </c>
      <c r="K5" s="8">
        <f t="shared" si="8"/>
        <v>8594.619778</v>
      </c>
      <c r="L5" s="8">
        <f t="shared" si="8"/>
        <v>9486.295789</v>
      </c>
      <c r="M5" s="8">
        <f t="shared" si="8"/>
        <v>10543.68354</v>
      </c>
      <c r="N5" s="8">
        <f t="shared" si="8"/>
        <v>11797.72952</v>
      </c>
    </row>
    <row r="6">
      <c r="A6" s="42" t="s">
        <v>138</v>
      </c>
      <c r="B6" s="32" t="str">
        <f t="shared" ref="B6:D6" si="9">+IFERROR(B5/A5-1,"nm")</f>
        <v>nm</v>
      </c>
      <c r="C6" s="32">
        <f t="shared" si="9"/>
        <v>0.09340772887</v>
      </c>
      <c r="D6" s="32">
        <f t="shared" si="9"/>
        <v>0.06671706672</v>
      </c>
      <c r="E6" s="32">
        <f>+IFERROR(D5/E5-1,"nm")</f>
        <v>0.101053453</v>
      </c>
      <c r="F6" s="32">
        <f t="shared" ref="F6:N6" si="10">+IFERROR(F5/E5-1,"nm")</f>
        <v>0.08369098712</v>
      </c>
      <c r="G6" s="32">
        <f t="shared" si="10"/>
        <v>0.03078307831</v>
      </c>
      <c r="H6" s="32">
        <f t="shared" si="10"/>
        <v>0.3389800908</v>
      </c>
      <c r="I6" s="32">
        <f t="shared" si="10"/>
        <v>-0.01226033651</v>
      </c>
      <c r="J6" s="43">
        <f t="shared" si="10"/>
        <v>0.03565523571</v>
      </c>
      <c r="K6" s="43">
        <f t="shared" si="10"/>
        <v>0.09583080955</v>
      </c>
      <c r="L6" s="43">
        <f t="shared" si="10"/>
        <v>0.1037481627</v>
      </c>
      <c r="M6" s="43">
        <f t="shared" si="10"/>
        <v>0.1114647672</v>
      </c>
      <c r="N6" s="43">
        <f t="shared" si="10"/>
        <v>0.1189381275</v>
      </c>
    </row>
    <row r="7">
      <c r="A7" s="42" t="s">
        <v>140</v>
      </c>
      <c r="B7" s="32">
        <f t="shared" ref="B7:N7" si="11">+IFERROR(B5/B$3,"nm")</f>
        <v>0.0843589833</v>
      </c>
      <c r="C7" s="32">
        <f t="shared" si="11"/>
        <v>0.08263055972</v>
      </c>
      <c r="D7" s="32">
        <f t="shared" si="11"/>
        <v>0.08754731029</v>
      </c>
      <c r="E7" s="32">
        <f t="shared" si="11"/>
        <v>0.07427801365</v>
      </c>
      <c r="F7" s="32">
        <f t="shared" si="11"/>
        <v>0.07457076504</v>
      </c>
      <c r="G7" s="32">
        <f t="shared" si="11"/>
        <v>0.08007607647</v>
      </c>
      <c r="H7" s="32">
        <f t="shared" si="11"/>
        <v>0.1721451345</v>
      </c>
      <c r="I7" s="32">
        <f t="shared" si="11"/>
        <v>0.162128024</v>
      </c>
      <c r="J7" s="43">
        <f t="shared" si="11"/>
        <v>0.1533339374</v>
      </c>
      <c r="K7" s="43">
        <f t="shared" si="11"/>
        <v>0.1528255232</v>
      </c>
      <c r="L7" s="43">
        <f t="shared" si="11"/>
        <v>0.1526300466</v>
      </c>
      <c r="M7" s="43">
        <f t="shared" si="11"/>
        <v>0.1527279265</v>
      </c>
      <c r="N7" s="43">
        <f t="shared" si="11"/>
        <v>0.1530969062</v>
      </c>
    </row>
    <row r="8">
      <c r="A8" s="12" t="s">
        <v>141</v>
      </c>
      <c r="B8" s="8">
        <f>+B38+B69+B100+B131+B150+B185+B204</f>
        <v>606</v>
      </c>
      <c r="C8" s="8">
        <f t="shared" ref="C8:N8" si="12">C38+C69+C100+C131+C150+C185+C204</f>
        <v>649</v>
      </c>
      <c r="D8" s="8">
        <f t="shared" si="12"/>
        <v>699</v>
      </c>
      <c r="E8" s="8">
        <f t="shared" si="12"/>
        <v>747</v>
      </c>
      <c r="F8" s="8">
        <f t="shared" si="12"/>
        <v>705</v>
      </c>
      <c r="G8" s="8">
        <f t="shared" si="12"/>
        <v>721</v>
      </c>
      <c r="H8" s="8">
        <f t="shared" si="12"/>
        <v>744</v>
      </c>
      <c r="I8" s="8">
        <f t="shared" si="12"/>
        <v>717</v>
      </c>
      <c r="J8" s="8">
        <f t="shared" si="12"/>
        <v>1290.471281</v>
      </c>
      <c r="K8" s="8">
        <f t="shared" si="12"/>
        <v>1438.457483</v>
      </c>
      <c r="L8" s="8">
        <f t="shared" si="12"/>
        <v>1610.746993</v>
      </c>
      <c r="M8" s="8">
        <f t="shared" si="12"/>
        <v>1811.75104</v>
      </c>
      <c r="N8" s="8">
        <f t="shared" si="12"/>
        <v>2046.771341</v>
      </c>
    </row>
    <row r="9">
      <c r="A9" s="42" t="s">
        <v>138</v>
      </c>
      <c r="B9" s="32" t="str">
        <f t="shared" ref="B9:N9" si="13">+IFERROR(B8/A8-1,"nm")</f>
        <v>nm</v>
      </c>
      <c r="C9" s="32">
        <f t="shared" si="13"/>
        <v>0.07095709571</v>
      </c>
      <c r="D9" s="32">
        <f t="shared" si="13"/>
        <v>0.07704160247</v>
      </c>
      <c r="E9" s="32">
        <f t="shared" si="13"/>
        <v>0.0686695279</v>
      </c>
      <c r="F9" s="32">
        <f t="shared" si="13"/>
        <v>-0.0562248996</v>
      </c>
      <c r="G9" s="32">
        <f t="shared" si="13"/>
        <v>0.02269503546</v>
      </c>
      <c r="H9" s="32">
        <f t="shared" si="13"/>
        <v>0.0319001387</v>
      </c>
      <c r="I9" s="32">
        <f t="shared" si="13"/>
        <v>-0.03629032258</v>
      </c>
      <c r="J9" s="43">
        <f t="shared" si="13"/>
        <v>0.7998204761</v>
      </c>
      <c r="K9" s="43">
        <f t="shared" si="13"/>
        <v>0.1146760904</v>
      </c>
      <c r="L9" s="43">
        <f t="shared" si="13"/>
        <v>0.1197737944</v>
      </c>
      <c r="M9" s="43">
        <f t="shared" si="13"/>
        <v>0.1247893354</v>
      </c>
      <c r="N9" s="43">
        <f t="shared" si="13"/>
        <v>0.1297199756</v>
      </c>
    </row>
    <row r="10">
      <c r="A10" s="42" t="s">
        <v>142</v>
      </c>
      <c r="B10" s="32">
        <f t="shared" ref="B10:N10" si="14">+IFERROR(B8/B$3,"nm")</f>
        <v>0.0105644852</v>
      </c>
      <c r="C10" s="32">
        <f t="shared" si="14"/>
        <v>0.01013555722</v>
      </c>
      <c r="D10" s="32">
        <f t="shared" si="14"/>
        <v>0.01084258857</v>
      </c>
      <c r="E10" s="32">
        <f t="shared" si="14"/>
        <v>0.01082436133</v>
      </c>
      <c r="F10" s="32">
        <f t="shared" si="14"/>
        <v>0.009463976481</v>
      </c>
      <c r="G10" s="32">
        <f t="shared" si="14"/>
        <v>0.01008292894</v>
      </c>
      <c r="H10" s="32">
        <f t="shared" si="14"/>
        <v>0.01670483632</v>
      </c>
      <c r="I10" s="32">
        <f t="shared" si="14"/>
        <v>0.01535003211</v>
      </c>
      <c r="J10" s="43">
        <f t="shared" si="14"/>
        <v>0.02522919945</v>
      </c>
      <c r="K10" s="43">
        <f t="shared" si="14"/>
        <v>0.02557798054</v>
      </c>
      <c r="L10" s="43">
        <f t="shared" si="14"/>
        <v>0.02591616308</v>
      </c>
      <c r="M10" s="43">
        <f t="shared" si="14"/>
        <v>0.02624367268</v>
      </c>
      <c r="N10" s="43">
        <f t="shared" si="14"/>
        <v>0.02656056485</v>
      </c>
    </row>
    <row r="11">
      <c r="A11" s="12" t="s">
        <v>143</v>
      </c>
      <c r="B11" s="8">
        <f t="shared" ref="B11:H11" si="15">B42+B73+B104+B135+B154+B189+B208</f>
        <v>4233</v>
      </c>
      <c r="C11" s="8">
        <f t="shared" si="15"/>
        <v>4642</v>
      </c>
      <c r="D11" s="8">
        <f t="shared" si="15"/>
        <v>4945</v>
      </c>
      <c r="E11" s="8">
        <f t="shared" si="15"/>
        <v>4379</v>
      </c>
      <c r="F11" s="8">
        <f t="shared" si="15"/>
        <v>4850</v>
      </c>
      <c r="G11" s="8">
        <f t="shared" si="15"/>
        <v>2976</v>
      </c>
      <c r="H11" s="8">
        <f t="shared" si="15"/>
        <v>6923</v>
      </c>
      <c r="I11" s="8">
        <f>I42+I73+I104+I135+I154+I208+I189</f>
        <v>6856</v>
      </c>
      <c r="J11" s="8">
        <f t="shared" ref="J11:N11" si="16">J5-J8</f>
        <v>6552.545819</v>
      </c>
      <c r="K11" s="8">
        <f t="shared" si="16"/>
        <v>7156.162295</v>
      </c>
      <c r="L11" s="8">
        <f t="shared" si="16"/>
        <v>7875.548796</v>
      </c>
      <c r="M11" s="8">
        <f t="shared" si="16"/>
        <v>8731.932501</v>
      </c>
      <c r="N11" s="8">
        <f t="shared" si="16"/>
        <v>9750.958177</v>
      </c>
    </row>
    <row r="12">
      <c r="A12" s="42" t="s">
        <v>138</v>
      </c>
      <c r="B12" s="32" t="str">
        <f t="shared" ref="B12:N12" si="17">+IFERROR(B11/A11-1,"nm")</f>
        <v>nm</v>
      </c>
      <c r="C12" s="32">
        <f t="shared" si="17"/>
        <v>0.09662178124</v>
      </c>
      <c r="D12" s="32">
        <f t="shared" si="17"/>
        <v>0.06527358897</v>
      </c>
      <c r="E12" s="32">
        <f t="shared" si="17"/>
        <v>-0.1144590495</v>
      </c>
      <c r="F12" s="32">
        <f t="shared" si="17"/>
        <v>0.1075588034</v>
      </c>
      <c r="G12" s="32">
        <f t="shared" si="17"/>
        <v>-0.3863917526</v>
      </c>
      <c r="H12" s="32">
        <f t="shared" si="17"/>
        <v>1.326276882</v>
      </c>
      <c r="I12" s="32">
        <f t="shared" si="17"/>
        <v>-0.00967788531</v>
      </c>
      <c r="J12" s="43">
        <f t="shared" si="17"/>
        <v>-0.04426111164</v>
      </c>
      <c r="K12" s="43">
        <f t="shared" si="17"/>
        <v>0.09211938282</v>
      </c>
      <c r="L12" s="43">
        <f t="shared" si="17"/>
        <v>0.1005268566</v>
      </c>
      <c r="M12" s="43">
        <f t="shared" si="17"/>
        <v>0.1087395593</v>
      </c>
      <c r="N12" s="43">
        <f t="shared" si="17"/>
        <v>0.1167010482</v>
      </c>
    </row>
    <row r="13">
      <c r="A13" s="42" t="s">
        <v>140</v>
      </c>
      <c r="B13" s="32">
        <f t="shared" ref="B13:N13" si="18">+IFERROR(B11/B$3,"nm")</f>
        <v>0.0737944981</v>
      </c>
      <c r="C13" s="32">
        <f t="shared" si="18"/>
        <v>0.0724950025</v>
      </c>
      <c r="D13" s="32">
        <f t="shared" si="18"/>
        <v>0.07670472172</v>
      </c>
      <c r="E13" s="32">
        <f t="shared" si="18"/>
        <v>0.06345365232</v>
      </c>
      <c r="F13" s="32">
        <f t="shared" si="18"/>
        <v>0.06510678856</v>
      </c>
      <c r="G13" s="32">
        <f t="shared" si="18"/>
        <v>0.0416183031</v>
      </c>
      <c r="H13" s="32">
        <f t="shared" si="18"/>
        <v>0.1554402982</v>
      </c>
      <c r="I13" s="32">
        <f t="shared" si="18"/>
        <v>0.1467779919</v>
      </c>
      <c r="J13" s="43">
        <f t="shared" si="18"/>
        <v>0.128104738</v>
      </c>
      <c r="K13" s="43">
        <f t="shared" si="18"/>
        <v>0.1272475427</v>
      </c>
      <c r="L13" s="43">
        <f t="shared" si="18"/>
        <v>0.1267138836</v>
      </c>
      <c r="M13" s="43">
        <f t="shared" si="18"/>
        <v>0.1264842538</v>
      </c>
      <c r="N13" s="43">
        <f t="shared" si="18"/>
        <v>0.1265363413</v>
      </c>
    </row>
    <row r="14">
      <c r="A14" s="12" t="s">
        <v>144</v>
      </c>
      <c r="B14" s="8">
        <f t="shared" ref="B14:D14" si="19">B45+B76+B107+B138+B157+B192+B211</f>
        <v>963</v>
      </c>
      <c r="C14" s="8">
        <f t="shared" si="19"/>
        <v>1143</v>
      </c>
      <c r="D14" s="8">
        <f t="shared" si="19"/>
        <v>1105</v>
      </c>
      <c r="E14" s="8">
        <f>E45+E76+E107+E138+E157+E192+183</f>
        <v>1052</v>
      </c>
      <c r="F14" s="8">
        <f t="shared" ref="F14:N14" si="20">F45+F76+F107+F138+F157+F192+F211</f>
        <v>1119</v>
      </c>
      <c r="G14" s="8">
        <f t="shared" si="20"/>
        <v>1086</v>
      </c>
      <c r="H14" s="8">
        <f t="shared" si="20"/>
        <v>695</v>
      </c>
      <c r="I14" s="8">
        <f t="shared" si="20"/>
        <v>758</v>
      </c>
      <c r="J14" s="8">
        <f t="shared" si="20"/>
        <v>877.067787</v>
      </c>
      <c r="K14" s="8">
        <f t="shared" si="20"/>
        <v>967.0609346</v>
      </c>
      <c r="L14" s="8">
        <f t="shared" si="20"/>
        <v>1070.278101</v>
      </c>
      <c r="M14" s="8">
        <f t="shared" si="20"/>
        <v>1188.825532</v>
      </c>
      <c r="N14" s="8">
        <f t="shared" si="20"/>
        <v>1325.191723</v>
      </c>
    </row>
    <row r="15">
      <c r="A15" s="42" t="s">
        <v>138</v>
      </c>
      <c r="B15" s="32" t="str">
        <f t="shared" ref="B15:N15" si="21">+IFERROR(B14/A14-1,"nm")</f>
        <v>nm</v>
      </c>
      <c r="C15" s="32">
        <f t="shared" si="21"/>
        <v>0.1869158879</v>
      </c>
      <c r="D15" s="32">
        <f t="shared" si="21"/>
        <v>-0.03324584427</v>
      </c>
      <c r="E15" s="32">
        <f t="shared" si="21"/>
        <v>-0.0479638009</v>
      </c>
      <c r="F15" s="32">
        <f t="shared" si="21"/>
        <v>0.06368821293</v>
      </c>
      <c r="G15" s="32">
        <f t="shared" si="21"/>
        <v>-0.02949061662</v>
      </c>
      <c r="H15" s="32">
        <f t="shared" si="21"/>
        <v>-0.3600368324</v>
      </c>
      <c r="I15" s="32">
        <f t="shared" si="21"/>
        <v>0.09064748201</v>
      </c>
      <c r="J15" s="43">
        <f t="shared" si="21"/>
        <v>0.1570815132</v>
      </c>
      <c r="K15" s="43">
        <f t="shared" si="21"/>
        <v>0.1026068326</v>
      </c>
      <c r="L15" s="43">
        <f t="shared" si="21"/>
        <v>0.1067328466</v>
      </c>
      <c r="M15" s="43">
        <f t="shared" si="21"/>
        <v>0.1107632033</v>
      </c>
      <c r="N15" s="43">
        <f t="shared" si="21"/>
        <v>0.1147066476</v>
      </c>
    </row>
    <row r="16">
      <c r="A16" s="42" t="s">
        <v>142</v>
      </c>
      <c r="B16" s="32">
        <f t="shared" ref="B16:N16" si="22">+IFERROR(B14/B$3,"nm")</f>
        <v>0.01678811757</v>
      </c>
      <c r="C16" s="32">
        <f t="shared" si="22"/>
        <v>0.01785044978</v>
      </c>
      <c r="D16" s="32">
        <f t="shared" si="22"/>
        <v>0.01714028665</v>
      </c>
      <c r="E16" s="32">
        <f t="shared" si="22"/>
        <v>0.01524394662</v>
      </c>
      <c r="F16" s="32">
        <f t="shared" si="22"/>
        <v>0.01502154565</v>
      </c>
      <c r="G16" s="32">
        <f t="shared" si="22"/>
        <v>0.01518732432</v>
      </c>
      <c r="H16" s="32">
        <f t="shared" si="22"/>
        <v>0.01560465221</v>
      </c>
      <c r="I16" s="32">
        <f t="shared" si="22"/>
        <v>0.01622778848</v>
      </c>
      <c r="J16" s="43">
        <f t="shared" si="22"/>
        <v>0.01714700548</v>
      </c>
      <c r="K16" s="43">
        <f t="shared" si="22"/>
        <v>0.01719582682</v>
      </c>
      <c r="L16" s="43">
        <f t="shared" si="22"/>
        <v>0.01722027229</v>
      </c>
      <c r="M16" s="43">
        <f t="shared" si="22"/>
        <v>0.01722043892</v>
      </c>
      <c r="N16" s="43">
        <f t="shared" si="22"/>
        <v>0.01719676253</v>
      </c>
    </row>
    <row r="17">
      <c r="A17" s="42" t="s">
        <v>145</v>
      </c>
      <c r="B17" s="8">
        <f t="shared" ref="B17:N17" si="23">B48+B79+B110+B141+B160+B195+B214</f>
        <v>2821</v>
      </c>
      <c r="C17" s="8">
        <f t="shared" si="23"/>
        <v>3359</v>
      </c>
      <c r="D17" s="8">
        <f t="shared" si="23"/>
        <v>3708</v>
      </c>
      <c r="E17" s="8">
        <f t="shared" si="23"/>
        <v>4164</v>
      </c>
      <c r="F17" s="8">
        <f t="shared" si="23"/>
        <v>4465</v>
      </c>
      <c r="G17" s="8">
        <f t="shared" si="23"/>
        <v>4611</v>
      </c>
      <c r="H17" s="8">
        <f t="shared" si="23"/>
        <v>4654</v>
      </c>
      <c r="I17" s="8">
        <f t="shared" si="23"/>
        <v>4573</v>
      </c>
      <c r="J17" s="8">
        <f t="shared" si="23"/>
        <v>6199.7329</v>
      </c>
      <c r="K17" s="8">
        <f t="shared" si="23"/>
        <v>6684.553942</v>
      </c>
      <c r="L17" s="8">
        <f t="shared" si="23"/>
        <v>7244.076949</v>
      </c>
      <c r="M17" s="8">
        <f t="shared" si="23"/>
        <v>7890.728681</v>
      </c>
      <c r="N17" s="8">
        <f t="shared" si="23"/>
        <v>8639.271859</v>
      </c>
    </row>
    <row r="18">
      <c r="A18" s="42" t="s">
        <v>138</v>
      </c>
      <c r="B18" s="44" t="str">
        <f t="shared" ref="B18:N18" si="24">+IFERROR(B17/A17-1,"nm")</f>
        <v>nm</v>
      </c>
      <c r="C18" s="44">
        <f t="shared" si="24"/>
        <v>0.1907125133</v>
      </c>
      <c r="D18" s="44">
        <f t="shared" si="24"/>
        <v>0.1038999702</v>
      </c>
      <c r="E18" s="44">
        <f t="shared" si="24"/>
        <v>0.1229773463</v>
      </c>
      <c r="F18" s="44">
        <f t="shared" si="24"/>
        <v>0.07228626321</v>
      </c>
      <c r="G18" s="44">
        <f t="shared" si="24"/>
        <v>0.0326987682</v>
      </c>
      <c r="H18" s="44">
        <f t="shared" si="24"/>
        <v>0.009325525916</v>
      </c>
      <c r="I18" s="44">
        <f t="shared" si="24"/>
        <v>-0.01740438333</v>
      </c>
      <c r="J18" s="43">
        <f t="shared" si="24"/>
        <v>0.3557255412</v>
      </c>
      <c r="K18" s="43">
        <f t="shared" si="24"/>
        <v>0.07820031118</v>
      </c>
      <c r="L18" s="43">
        <f t="shared" si="24"/>
        <v>0.08370386599</v>
      </c>
      <c r="M18" s="43">
        <f t="shared" si="24"/>
        <v>0.08926627044</v>
      </c>
      <c r="N18" s="43">
        <f t="shared" si="24"/>
        <v>0.09486363145</v>
      </c>
    </row>
    <row r="19">
      <c r="A19" s="42" t="s">
        <v>142</v>
      </c>
      <c r="B19" s="44">
        <f t="shared" ref="B19:N19" si="25">+IFERROR(B17/B$3,"nm")</f>
        <v>0.04917889892</v>
      </c>
      <c r="C19" s="44">
        <f t="shared" si="25"/>
        <v>0.05245814593</v>
      </c>
      <c r="D19" s="44">
        <f t="shared" si="25"/>
        <v>0.05751690761</v>
      </c>
      <c r="E19" s="44">
        <f t="shared" si="25"/>
        <v>0.06033820695</v>
      </c>
      <c r="F19" s="44">
        <f t="shared" si="25"/>
        <v>0.05993851771</v>
      </c>
      <c r="G19" s="44">
        <f t="shared" si="25"/>
        <v>0.06448319745</v>
      </c>
      <c r="H19" s="44">
        <f t="shared" si="25"/>
        <v>0.1044950379</v>
      </c>
      <c r="I19" s="44">
        <f t="shared" si="25"/>
        <v>0.09790194819</v>
      </c>
      <c r="J19" s="43">
        <f t="shared" si="25"/>
        <v>0.1212071126</v>
      </c>
      <c r="K19" s="43">
        <f t="shared" si="25"/>
        <v>0.1188616227</v>
      </c>
      <c r="L19" s="43">
        <f t="shared" si="25"/>
        <v>0.1165537979</v>
      </c>
      <c r="M19" s="43">
        <f t="shared" si="25"/>
        <v>0.1142992034</v>
      </c>
      <c r="N19" s="43">
        <f t="shared" si="25"/>
        <v>0.1121101981</v>
      </c>
    </row>
    <row r="20">
      <c r="A20" s="45" t="str">
        <f>+Historicals!A111</f>
        <v>North America</v>
      </c>
      <c r="B20" s="45"/>
      <c r="C20" s="45"/>
      <c r="D20" s="45"/>
      <c r="E20" s="45"/>
      <c r="F20" s="45"/>
      <c r="G20" s="45"/>
      <c r="H20" s="45"/>
      <c r="I20" s="45"/>
      <c r="K20" s="40"/>
      <c r="L20" s="40"/>
      <c r="M20" s="40"/>
      <c r="N20" s="40"/>
    </row>
    <row r="21" ht="15.75" customHeight="1">
      <c r="A21" s="12" t="s">
        <v>146</v>
      </c>
      <c r="B21" s="12">
        <f>B23+B27+B31</f>
        <v>13740</v>
      </c>
      <c r="C21" s="12">
        <f>C23+C27+C35</f>
        <v>17941</v>
      </c>
      <c r="D21" s="12">
        <f t="shared" ref="D21:I21" si="26">D23+D27+D31</f>
        <v>15216</v>
      </c>
      <c r="E21" s="12">
        <f t="shared" si="26"/>
        <v>14855</v>
      </c>
      <c r="F21" s="12">
        <f t="shared" si="26"/>
        <v>15902</v>
      </c>
      <c r="G21" s="12">
        <f t="shared" si="26"/>
        <v>14484</v>
      </c>
      <c r="H21" s="12">
        <f t="shared" si="26"/>
        <v>17179</v>
      </c>
      <c r="I21" s="12">
        <f t="shared" si="26"/>
        <v>18353</v>
      </c>
      <c r="J21" s="12">
        <f t="shared" ref="J21:N21" si="27">+SUM(J23+J27+J31)</f>
        <v>19121.04</v>
      </c>
      <c r="K21" s="12">
        <f t="shared" si="27"/>
        <v>19939.1352</v>
      </c>
      <c r="L21" s="12">
        <f t="shared" si="27"/>
        <v>20813.36626</v>
      </c>
      <c r="M21" s="12">
        <f t="shared" si="27"/>
        <v>21750.87085</v>
      </c>
      <c r="N21" s="12">
        <f t="shared" si="27"/>
        <v>22760.04828</v>
      </c>
    </row>
    <row r="22" ht="15.75" customHeight="1">
      <c r="A22" s="42" t="s">
        <v>138</v>
      </c>
      <c r="B22" s="43" t="str">
        <f>+IFERROR(B3/A3-1,"nm")</f>
        <v>nm</v>
      </c>
      <c r="C22" s="43">
        <f t="shared" ref="C22:N22" si="28">+IFERROR(C21/B21-1,"nm")</f>
        <v>0.3057496361</v>
      </c>
      <c r="D22" s="43">
        <f t="shared" si="28"/>
        <v>-0.1518867399</v>
      </c>
      <c r="E22" s="43">
        <f t="shared" si="28"/>
        <v>-0.02372502629</v>
      </c>
      <c r="F22" s="43">
        <f t="shared" si="28"/>
        <v>0.07048131942</v>
      </c>
      <c r="G22" s="43">
        <f t="shared" si="28"/>
        <v>-0.08917117344</v>
      </c>
      <c r="H22" s="43">
        <f t="shared" si="28"/>
        <v>0.1860673847</v>
      </c>
      <c r="I22" s="43">
        <f t="shared" si="28"/>
        <v>0.06833925141</v>
      </c>
      <c r="J22" s="43">
        <f t="shared" si="28"/>
        <v>0.0418481992</v>
      </c>
      <c r="K22" s="43">
        <f t="shared" si="28"/>
        <v>0.04278507864</v>
      </c>
      <c r="L22" s="43">
        <f t="shared" si="28"/>
        <v>0.04384498361</v>
      </c>
      <c r="M22" s="43">
        <f t="shared" si="28"/>
        <v>0.04504339116</v>
      </c>
      <c r="N22" s="43">
        <f t="shared" si="28"/>
        <v>0.04639710451</v>
      </c>
    </row>
    <row r="23" ht="15.75" customHeight="1">
      <c r="A23" s="46" t="s">
        <v>110</v>
      </c>
      <c r="B23" s="8">
        <f>+Historicals!B112</f>
        <v>8506</v>
      </c>
      <c r="C23" s="8">
        <f>+Historicals!C112</f>
        <v>9299</v>
      </c>
      <c r="D23" s="8">
        <f>+Historicals!D112</f>
        <v>9684</v>
      </c>
      <c r="E23" s="8">
        <f>+Historicals!E112</f>
        <v>9322</v>
      </c>
      <c r="F23" s="8">
        <f>+Historicals!F112</f>
        <v>10045</v>
      </c>
      <c r="G23" s="8">
        <f>+Historicals!G112</f>
        <v>9329</v>
      </c>
      <c r="H23" s="8">
        <f>+Historicals!H112</f>
        <v>11644</v>
      </c>
      <c r="I23" s="8">
        <f>+Historicals!I112</f>
        <v>12228</v>
      </c>
      <c r="J23" s="8">
        <f t="shared" ref="J23:N23" si="29">+I23*(1+J24)</f>
        <v>12594.84</v>
      </c>
      <c r="K23" s="8">
        <f t="shared" si="29"/>
        <v>12972.6852</v>
      </c>
      <c r="L23" s="8">
        <f t="shared" si="29"/>
        <v>13361.86576</v>
      </c>
      <c r="M23" s="8">
        <f t="shared" si="29"/>
        <v>13762.72173</v>
      </c>
      <c r="N23" s="8">
        <f t="shared" si="29"/>
        <v>14175.60338</v>
      </c>
    </row>
    <row r="24" ht="15.75" customHeight="1">
      <c r="A24" s="42" t="s">
        <v>138</v>
      </c>
      <c r="B24" s="43" t="str">
        <f t="shared" ref="B24:I24" si="30">+IFERROR(B23/A23-1,"nm")</f>
        <v>nm</v>
      </c>
      <c r="C24" s="43">
        <f t="shared" si="30"/>
        <v>0.09322830943</v>
      </c>
      <c r="D24" s="43">
        <f t="shared" si="30"/>
        <v>0.04140230132</v>
      </c>
      <c r="E24" s="43">
        <f t="shared" si="30"/>
        <v>-0.03738124742</v>
      </c>
      <c r="F24" s="43">
        <f t="shared" si="30"/>
        <v>0.07755846385</v>
      </c>
      <c r="G24" s="43">
        <f t="shared" si="30"/>
        <v>-0.0712792434</v>
      </c>
      <c r="H24" s="43">
        <f t="shared" si="30"/>
        <v>0.2481509272</v>
      </c>
      <c r="I24" s="43">
        <f t="shared" si="30"/>
        <v>0.05015458605</v>
      </c>
      <c r="J24" s="43">
        <f t="shared" ref="J24:N24" si="31">+J25+J26</f>
        <v>0.03</v>
      </c>
      <c r="K24" s="43">
        <f t="shared" si="31"/>
        <v>0.03</v>
      </c>
      <c r="L24" s="43">
        <f t="shared" si="31"/>
        <v>0.03</v>
      </c>
      <c r="M24" s="43">
        <f t="shared" si="31"/>
        <v>0.03</v>
      </c>
      <c r="N24" s="43">
        <f t="shared" si="31"/>
        <v>0.03</v>
      </c>
    </row>
    <row r="25" ht="15.75" customHeight="1">
      <c r="A25" s="42" t="s">
        <v>147</v>
      </c>
      <c r="B25" s="43" t="str">
        <f>+Historicals!B184</f>
        <v/>
      </c>
      <c r="C25" s="43">
        <f>+Historicals!C184</f>
        <v>0.09322830943</v>
      </c>
      <c r="D25" s="43">
        <f>+Historicals!D184</f>
        <v>0.04140230132</v>
      </c>
      <c r="E25" s="43">
        <f>+Historicals!E184</f>
        <v>-0.03738124742</v>
      </c>
      <c r="F25" s="43">
        <f>+Historicals!F184</f>
        <v>0.07755846385</v>
      </c>
      <c r="G25" s="43">
        <f>+Historicals!G184</f>
        <v>-0.0712792434</v>
      </c>
      <c r="H25" s="43">
        <f>+Historicals!H184</f>
        <v>0.2481509272</v>
      </c>
      <c r="I25" s="43">
        <f>+Historicals!I184</f>
        <v>0.05</v>
      </c>
      <c r="J25" s="47">
        <v>0.03</v>
      </c>
      <c r="K25" s="47">
        <f t="shared" ref="K25:N25" si="32">+J25</f>
        <v>0.03</v>
      </c>
      <c r="L25" s="47">
        <f t="shared" si="32"/>
        <v>0.03</v>
      </c>
      <c r="M25" s="47">
        <f t="shared" si="32"/>
        <v>0.03</v>
      </c>
      <c r="N25" s="47">
        <f t="shared" si="32"/>
        <v>0.03</v>
      </c>
    </row>
    <row r="26" ht="15.75" customHeight="1">
      <c r="A26" s="42" t="s">
        <v>148</v>
      </c>
      <c r="B26" s="43" t="str">
        <f t="shared" ref="B26:I26" si="33">+IFERROR(B24-B25,"nm")</f>
        <v>nm</v>
      </c>
      <c r="C26" s="43">
        <f t="shared" si="33"/>
        <v>0</v>
      </c>
      <c r="D26" s="43">
        <f t="shared" si="33"/>
        <v>0</v>
      </c>
      <c r="E26" s="43">
        <f t="shared" si="33"/>
        <v>0</v>
      </c>
      <c r="F26" s="43">
        <f t="shared" si="33"/>
        <v>0</v>
      </c>
      <c r="G26" s="43">
        <f t="shared" si="33"/>
        <v>0</v>
      </c>
      <c r="H26" s="43">
        <f t="shared" si="33"/>
        <v>0</v>
      </c>
      <c r="I26" s="43">
        <f t="shared" si="33"/>
        <v>0.0001545860529</v>
      </c>
      <c r="J26" s="47">
        <v>0.0</v>
      </c>
      <c r="K26" s="47">
        <f t="shared" ref="K26:N26" si="34">+J26</f>
        <v>0</v>
      </c>
      <c r="L26" s="47">
        <f t="shared" si="34"/>
        <v>0</v>
      </c>
      <c r="M26" s="47">
        <f t="shared" si="34"/>
        <v>0</v>
      </c>
      <c r="N26" s="47">
        <f t="shared" si="34"/>
        <v>0</v>
      </c>
    </row>
    <row r="27" ht="15.75" customHeight="1">
      <c r="A27" s="46" t="s">
        <v>111</v>
      </c>
      <c r="B27" s="8">
        <f>+Historicals!B113</f>
        <v>4410</v>
      </c>
      <c r="C27" s="8">
        <f>+Historicals!C113</f>
        <v>4746</v>
      </c>
      <c r="D27" s="8">
        <f>+Historicals!D113</f>
        <v>4886</v>
      </c>
      <c r="E27" s="8">
        <f>+Historicals!E113</f>
        <v>4938</v>
      </c>
      <c r="F27" s="8">
        <f>+Historicals!F113</f>
        <v>5260</v>
      </c>
      <c r="G27" s="8">
        <f>+Historicals!G113</f>
        <v>4639</v>
      </c>
      <c r="H27" s="8">
        <f>+Historicals!H113</f>
        <v>5028</v>
      </c>
      <c r="I27" s="8">
        <f>+Historicals!I113</f>
        <v>5492</v>
      </c>
      <c r="J27" s="8">
        <f t="shared" ref="J27:N27" si="35">+I27*(1+J28)</f>
        <v>5766.6</v>
      </c>
      <c r="K27" s="8">
        <f t="shared" si="35"/>
        <v>6054.93</v>
      </c>
      <c r="L27" s="8">
        <f t="shared" si="35"/>
        <v>6357.6765</v>
      </c>
      <c r="M27" s="8">
        <f t="shared" si="35"/>
        <v>6675.560325</v>
      </c>
      <c r="N27" s="8">
        <f t="shared" si="35"/>
        <v>7009.338341</v>
      </c>
    </row>
    <row r="28" ht="15.75" customHeight="1">
      <c r="A28" s="42" t="s">
        <v>138</v>
      </c>
      <c r="B28" s="43" t="str">
        <f t="shared" ref="B28:I28" si="36">+IFERROR(B27/A27-1,"nm")</f>
        <v>nm</v>
      </c>
      <c r="C28" s="43">
        <f t="shared" si="36"/>
        <v>0.07619047619</v>
      </c>
      <c r="D28" s="43">
        <f t="shared" si="36"/>
        <v>0.02949852507</v>
      </c>
      <c r="E28" s="43">
        <f t="shared" si="36"/>
        <v>0.01064265248</v>
      </c>
      <c r="F28" s="43">
        <f t="shared" si="36"/>
        <v>0.06520858647</v>
      </c>
      <c r="G28" s="43">
        <f t="shared" si="36"/>
        <v>-0.1180608365</v>
      </c>
      <c r="H28" s="43">
        <f t="shared" si="36"/>
        <v>0.08385427894</v>
      </c>
      <c r="I28" s="43">
        <f t="shared" si="36"/>
        <v>0.092283214</v>
      </c>
      <c r="J28" s="43">
        <f t="shared" ref="J28:N28" si="37">+J29+J30</f>
        <v>0.05</v>
      </c>
      <c r="K28" s="43">
        <f t="shared" si="37"/>
        <v>0.05</v>
      </c>
      <c r="L28" s="43">
        <f t="shared" si="37"/>
        <v>0.05</v>
      </c>
      <c r="M28" s="43">
        <f t="shared" si="37"/>
        <v>0.05</v>
      </c>
      <c r="N28" s="43">
        <f t="shared" si="37"/>
        <v>0.05</v>
      </c>
    </row>
    <row r="29" ht="15.75" customHeight="1">
      <c r="A29" s="42" t="s">
        <v>147</v>
      </c>
      <c r="B29" s="43" t="str">
        <f>+Historicals!B188</f>
        <v/>
      </c>
      <c r="C29" s="43">
        <f>+Historicals!C188</f>
        <v>-0.3133169935</v>
      </c>
      <c r="D29" s="43">
        <f>+Historicals!D188</f>
        <v>0.02954590522</v>
      </c>
      <c r="E29" s="43">
        <f>+Historicals!E188</f>
        <v>0.1315485362</v>
      </c>
      <c r="F29" s="43">
        <f>+Historicals!F188</f>
        <v>0.07114893617</v>
      </c>
      <c r="G29" s="43">
        <f>+Historicals!G188</f>
        <v>-0.06372159542</v>
      </c>
      <c r="H29" s="43">
        <f>+Historicals!H188</f>
        <v>0.1829599457</v>
      </c>
      <c r="I29" s="43">
        <f>+Historicals!I188</f>
        <v>0.09</v>
      </c>
      <c r="J29" s="47">
        <v>0.05</v>
      </c>
      <c r="K29" s="47">
        <f t="shared" ref="K29:N29" si="38">+J29</f>
        <v>0.05</v>
      </c>
      <c r="L29" s="47">
        <f t="shared" si="38"/>
        <v>0.05</v>
      </c>
      <c r="M29" s="47">
        <f t="shared" si="38"/>
        <v>0.05</v>
      </c>
      <c r="N29" s="47">
        <f t="shared" si="38"/>
        <v>0.05</v>
      </c>
    </row>
    <row r="30" ht="15.75" customHeight="1">
      <c r="A30" s="42" t="s">
        <v>148</v>
      </c>
      <c r="B30" s="43" t="str">
        <f t="shared" ref="B30:I30" si="39">+IFERROR(B28-B29,"nm")</f>
        <v>nm</v>
      </c>
      <c r="C30" s="43">
        <f t="shared" si="39"/>
        <v>0.3895074697</v>
      </c>
      <c r="D30" s="43">
        <f t="shared" si="39"/>
        <v>-0.0000473801414</v>
      </c>
      <c r="E30" s="43">
        <f t="shared" si="39"/>
        <v>-0.1209058837</v>
      </c>
      <c r="F30" s="43">
        <f t="shared" si="39"/>
        <v>-0.005940349698</v>
      </c>
      <c r="G30" s="43">
        <f t="shared" si="39"/>
        <v>-0.05433924108</v>
      </c>
      <c r="H30" s="43">
        <f t="shared" si="39"/>
        <v>-0.09910566675</v>
      </c>
      <c r="I30" s="43">
        <f t="shared" si="39"/>
        <v>0.002283214002</v>
      </c>
      <c r="J30" s="47">
        <v>0.0</v>
      </c>
      <c r="K30" s="47">
        <f t="shared" ref="K30:N30" si="40">+J30</f>
        <v>0</v>
      </c>
      <c r="L30" s="47">
        <f t="shared" si="40"/>
        <v>0</v>
      </c>
      <c r="M30" s="47">
        <f t="shared" si="40"/>
        <v>0</v>
      </c>
      <c r="N30" s="47">
        <f t="shared" si="40"/>
        <v>0</v>
      </c>
    </row>
    <row r="31" ht="15.75" customHeight="1">
      <c r="A31" s="46" t="s">
        <v>112</v>
      </c>
      <c r="B31" s="8">
        <f>+Historicals!B114</f>
        <v>824</v>
      </c>
      <c r="C31" s="8">
        <f>+Historicals!C114</f>
        <v>719</v>
      </c>
      <c r="D31" s="8">
        <f>+Historicals!D114</f>
        <v>646</v>
      </c>
      <c r="E31" s="8">
        <f>+Historicals!E114</f>
        <v>595</v>
      </c>
      <c r="F31" s="8">
        <f>+Historicals!F114</f>
        <v>597</v>
      </c>
      <c r="G31" s="8">
        <f>+Historicals!G114</f>
        <v>516</v>
      </c>
      <c r="H31" s="8">
        <f>+Historicals!H114</f>
        <v>507</v>
      </c>
      <c r="I31" s="8">
        <f>+Historicals!I114</f>
        <v>633</v>
      </c>
      <c r="J31" s="8">
        <f t="shared" ref="J31:N31" si="41">+I31*(1+J32)</f>
        <v>759.6</v>
      </c>
      <c r="K31" s="8">
        <f t="shared" si="41"/>
        <v>911.52</v>
      </c>
      <c r="L31" s="8">
        <f t="shared" si="41"/>
        <v>1093.824</v>
      </c>
      <c r="M31" s="8">
        <f t="shared" si="41"/>
        <v>1312.5888</v>
      </c>
      <c r="N31" s="8">
        <f t="shared" si="41"/>
        <v>1575.10656</v>
      </c>
    </row>
    <row r="32" ht="15.75" customHeight="1">
      <c r="A32" s="42" t="s">
        <v>138</v>
      </c>
      <c r="B32" s="43" t="str">
        <f t="shared" ref="B32:I32" si="42">+IFERROR(B31/A31-1,"nm")</f>
        <v>nm</v>
      </c>
      <c r="C32" s="43">
        <f t="shared" si="42"/>
        <v>-0.1274271845</v>
      </c>
      <c r="D32" s="43">
        <f t="shared" si="42"/>
        <v>-0.1015299026</v>
      </c>
      <c r="E32" s="43">
        <f t="shared" si="42"/>
        <v>-0.07894736842</v>
      </c>
      <c r="F32" s="43">
        <f t="shared" si="42"/>
        <v>0.003361344538</v>
      </c>
      <c r="G32" s="43">
        <f t="shared" si="42"/>
        <v>-0.135678392</v>
      </c>
      <c r="H32" s="43">
        <f t="shared" si="42"/>
        <v>-0.01744186047</v>
      </c>
      <c r="I32" s="43">
        <f t="shared" si="42"/>
        <v>0.2485207101</v>
      </c>
      <c r="J32" s="43">
        <f t="shared" ref="J32:N32" si="43">+J33+J34</f>
        <v>0.2</v>
      </c>
      <c r="K32" s="43">
        <f t="shared" si="43"/>
        <v>0.2</v>
      </c>
      <c r="L32" s="43">
        <f t="shared" si="43"/>
        <v>0.2</v>
      </c>
      <c r="M32" s="43">
        <f t="shared" si="43"/>
        <v>0.2</v>
      </c>
      <c r="N32" s="43">
        <f t="shared" si="43"/>
        <v>0.2</v>
      </c>
    </row>
    <row r="33" ht="15.75" customHeight="1">
      <c r="A33" s="42" t="s">
        <v>147</v>
      </c>
      <c r="B33" s="43" t="str">
        <f>+Historicals!B186</f>
        <v/>
      </c>
      <c r="C33" s="43">
        <f>+Historicals!C186</f>
        <v>-0.1274271845</v>
      </c>
      <c r="D33" s="43">
        <f>+Historicals!D186</f>
        <v>-0.1015299026</v>
      </c>
      <c r="E33" s="43">
        <f>+Historicals!E186</f>
        <v>-0.07894736842</v>
      </c>
      <c r="F33" s="43">
        <f>+Historicals!F186</f>
        <v>0.003361344538</v>
      </c>
      <c r="G33" s="43">
        <f>+Historicals!G186</f>
        <v>-0.135678392</v>
      </c>
      <c r="H33" s="43">
        <f>+Historicals!H186</f>
        <v>-0.01744186047</v>
      </c>
      <c r="I33" s="43">
        <f>+Historicals!I186</f>
        <v>0.25</v>
      </c>
      <c r="J33" s="47">
        <v>0.2</v>
      </c>
      <c r="K33" s="47">
        <f t="shared" ref="K33:N33" si="44">+J33</f>
        <v>0.2</v>
      </c>
      <c r="L33" s="47">
        <f t="shared" si="44"/>
        <v>0.2</v>
      </c>
      <c r="M33" s="47">
        <f t="shared" si="44"/>
        <v>0.2</v>
      </c>
      <c r="N33" s="47">
        <f t="shared" si="44"/>
        <v>0.2</v>
      </c>
    </row>
    <row r="34" ht="15.75" customHeight="1">
      <c r="A34" s="42" t="s">
        <v>148</v>
      </c>
      <c r="B34" s="43" t="str">
        <f t="shared" ref="B34:I34" si="45">+IFERROR(B32-B33,"nm")</f>
        <v>nm</v>
      </c>
      <c r="C34" s="43">
        <f t="shared" si="45"/>
        <v>0</v>
      </c>
      <c r="D34" s="43">
        <f t="shared" si="45"/>
        <v>0</v>
      </c>
      <c r="E34" s="43">
        <f t="shared" si="45"/>
        <v>0</v>
      </c>
      <c r="F34" s="43">
        <f t="shared" si="45"/>
        <v>0</v>
      </c>
      <c r="G34" s="43">
        <f t="shared" si="45"/>
        <v>0</v>
      </c>
      <c r="H34" s="43">
        <f t="shared" si="45"/>
        <v>0</v>
      </c>
      <c r="I34" s="43">
        <f t="shared" si="45"/>
        <v>-0.001479289941</v>
      </c>
      <c r="J34" s="47">
        <v>0.0</v>
      </c>
      <c r="K34" s="47">
        <f t="shared" ref="K34:N34" si="46">+J34</f>
        <v>0</v>
      </c>
      <c r="L34" s="47">
        <f t="shared" si="46"/>
        <v>0</v>
      </c>
      <c r="M34" s="47">
        <f t="shared" si="46"/>
        <v>0</v>
      </c>
      <c r="N34" s="47">
        <f t="shared" si="46"/>
        <v>0</v>
      </c>
    </row>
    <row r="35" ht="15.75" customHeight="1">
      <c r="A35" s="12" t="s">
        <v>139</v>
      </c>
      <c r="B35" s="12">
        <f t="shared" ref="B35:I35" si="47">+B42+B38</f>
        <v>3766</v>
      </c>
      <c r="C35" s="12">
        <f t="shared" si="47"/>
        <v>3896</v>
      </c>
      <c r="D35" s="12">
        <f t="shared" si="47"/>
        <v>4015</v>
      </c>
      <c r="E35" s="12">
        <f t="shared" si="47"/>
        <v>3760</v>
      </c>
      <c r="F35" s="12">
        <f t="shared" si="47"/>
        <v>4074</v>
      </c>
      <c r="G35" s="12">
        <f t="shared" si="47"/>
        <v>3047</v>
      </c>
      <c r="H35" s="12">
        <f t="shared" si="47"/>
        <v>5219</v>
      </c>
      <c r="I35" s="12">
        <f t="shared" si="47"/>
        <v>5238</v>
      </c>
      <c r="J35" s="12">
        <f t="shared" ref="J35:N35" si="48">+J21*J37</f>
        <v>6692.364</v>
      </c>
      <c r="K35" s="12">
        <f t="shared" si="48"/>
        <v>6978.69732</v>
      </c>
      <c r="L35" s="12">
        <f t="shared" si="48"/>
        <v>7284.67819</v>
      </c>
      <c r="M35" s="12">
        <f t="shared" si="48"/>
        <v>7612.804799</v>
      </c>
      <c r="N35" s="12">
        <f t="shared" si="48"/>
        <v>7966.016899</v>
      </c>
    </row>
    <row r="36" ht="15.75" customHeight="1">
      <c r="A36" s="42" t="s">
        <v>138</v>
      </c>
      <c r="B36" s="43" t="str">
        <f t="shared" ref="B36:N36" si="49">+IFERROR(B35/A35-1,"nm")</f>
        <v>nm</v>
      </c>
      <c r="C36" s="43">
        <f t="shared" si="49"/>
        <v>0.03451938396</v>
      </c>
      <c r="D36" s="43">
        <f t="shared" si="49"/>
        <v>0.03054414784</v>
      </c>
      <c r="E36" s="43">
        <f t="shared" si="49"/>
        <v>-0.06351183064</v>
      </c>
      <c r="F36" s="43">
        <f t="shared" si="49"/>
        <v>0.0835106383</v>
      </c>
      <c r="G36" s="43">
        <f t="shared" si="49"/>
        <v>-0.2520864016</v>
      </c>
      <c r="H36" s="43">
        <f t="shared" si="49"/>
        <v>0.7128322941</v>
      </c>
      <c r="I36" s="43">
        <f t="shared" si="49"/>
        <v>0.003640544166</v>
      </c>
      <c r="J36" s="43">
        <f t="shared" si="49"/>
        <v>0.2776563574</v>
      </c>
      <c r="K36" s="43">
        <f t="shared" si="49"/>
        <v>0.04278507864</v>
      </c>
      <c r="L36" s="43">
        <f t="shared" si="49"/>
        <v>0.04384498361</v>
      </c>
      <c r="M36" s="43">
        <f t="shared" si="49"/>
        <v>0.04504339116</v>
      </c>
      <c r="N36" s="43">
        <f t="shared" si="49"/>
        <v>0.04639710451</v>
      </c>
    </row>
    <row r="37" ht="15.75" customHeight="1">
      <c r="A37" s="42" t="s">
        <v>140</v>
      </c>
      <c r="B37" s="43">
        <f t="shared" ref="B37:I37" si="50">+IFERROR(B35/B$21,"nm")</f>
        <v>0.2740902475</v>
      </c>
      <c r="C37" s="43">
        <f t="shared" si="50"/>
        <v>0.2171562343</v>
      </c>
      <c r="D37" s="43">
        <f t="shared" si="50"/>
        <v>0.2638669821</v>
      </c>
      <c r="E37" s="43">
        <f t="shared" si="50"/>
        <v>0.2531134298</v>
      </c>
      <c r="F37" s="43">
        <f t="shared" si="50"/>
        <v>0.2561941894</v>
      </c>
      <c r="G37" s="43">
        <f t="shared" si="50"/>
        <v>0.2103700635</v>
      </c>
      <c r="H37" s="43">
        <f t="shared" si="50"/>
        <v>0.3038011526</v>
      </c>
      <c r="I37" s="43">
        <f t="shared" si="50"/>
        <v>0.2854029314</v>
      </c>
      <c r="J37" s="47">
        <v>0.35</v>
      </c>
      <c r="K37" s="47">
        <f t="shared" ref="K37:N37" si="51">+J37</f>
        <v>0.35</v>
      </c>
      <c r="L37" s="47">
        <f t="shared" si="51"/>
        <v>0.35</v>
      </c>
      <c r="M37" s="47">
        <f t="shared" si="51"/>
        <v>0.35</v>
      </c>
      <c r="N37" s="47">
        <f t="shared" si="51"/>
        <v>0.35</v>
      </c>
    </row>
    <row r="38" ht="15.75" customHeight="1">
      <c r="A38" s="12" t="s">
        <v>141</v>
      </c>
      <c r="B38" s="12">
        <f>+Historicals!B171</f>
        <v>121</v>
      </c>
      <c r="C38" s="12">
        <f>+Historicals!C171</f>
        <v>133</v>
      </c>
      <c r="D38" s="12">
        <f>+Historicals!D171</f>
        <v>140</v>
      </c>
      <c r="E38" s="12">
        <f>+Historicals!E171</f>
        <v>160</v>
      </c>
      <c r="F38" s="12">
        <f>+Historicals!F171</f>
        <v>149</v>
      </c>
      <c r="G38" s="12">
        <f>+Historicals!G171</f>
        <v>148</v>
      </c>
      <c r="H38" s="12">
        <f>+Historicals!H171</f>
        <v>130</v>
      </c>
      <c r="I38" s="12">
        <f>+Historicals!I171</f>
        <v>124</v>
      </c>
      <c r="J38" s="12">
        <f t="shared" ref="J38:N38" si="52">+J41*J48</f>
        <v>185.5249577</v>
      </c>
      <c r="K38" s="12">
        <f t="shared" si="52"/>
        <v>193.4626577</v>
      </c>
      <c r="L38" s="12">
        <f t="shared" si="52"/>
        <v>201.9450247</v>
      </c>
      <c r="M38" s="12">
        <f t="shared" si="52"/>
        <v>211.0413134</v>
      </c>
      <c r="N38" s="12">
        <f t="shared" si="52"/>
        <v>220.8330193</v>
      </c>
    </row>
    <row r="39" ht="15.75" customHeight="1">
      <c r="A39" s="42" t="s">
        <v>138</v>
      </c>
      <c r="B39" s="43" t="str">
        <f t="shared" ref="B39:N39" si="53">+IFERROR(B38/A38-1,"nm")</f>
        <v>nm</v>
      </c>
      <c r="C39" s="43">
        <f t="shared" si="53"/>
        <v>0.09917355372</v>
      </c>
      <c r="D39" s="43">
        <f t="shared" si="53"/>
        <v>0.05263157895</v>
      </c>
      <c r="E39" s="43">
        <f t="shared" si="53"/>
        <v>0.1428571429</v>
      </c>
      <c r="F39" s="43">
        <f t="shared" si="53"/>
        <v>-0.06875</v>
      </c>
      <c r="G39" s="43">
        <f t="shared" si="53"/>
        <v>-0.006711409396</v>
      </c>
      <c r="H39" s="43">
        <f t="shared" si="53"/>
        <v>-0.1216216216</v>
      </c>
      <c r="I39" s="43">
        <f t="shared" si="53"/>
        <v>-0.04615384615</v>
      </c>
      <c r="J39" s="43">
        <f t="shared" si="53"/>
        <v>0.4961690141</v>
      </c>
      <c r="K39" s="43">
        <f t="shared" si="53"/>
        <v>0.04278507864</v>
      </c>
      <c r="L39" s="43">
        <f t="shared" si="53"/>
        <v>0.04384498361</v>
      </c>
      <c r="M39" s="43">
        <f t="shared" si="53"/>
        <v>0.04504339116</v>
      </c>
      <c r="N39" s="43">
        <f t="shared" si="53"/>
        <v>0.04639710451</v>
      </c>
    </row>
    <row r="40" ht="15.75" customHeight="1">
      <c r="A40" s="42" t="s">
        <v>142</v>
      </c>
      <c r="B40" s="43">
        <f t="shared" ref="B40:N40" si="54">+IFERROR(B38/B$21,"nm")</f>
        <v>0.008806404658</v>
      </c>
      <c r="C40" s="43">
        <f t="shared" si="54"/>
        <v>0.007413187671</v>
      </c>
      <c r="D40" s="43">
        <f t="shared" si="54"/>
        <v>0.00920084122</v>
      </c>
      <c r="E40" s="43">
        <f t="shared" si="54"/>
        <v>0.01077078425</v>
      </c>
      <c r="F40" s="43">
        <f t="shared" si="54"/>
        <v>0.00936989058</v>
      </c>
      <c r="G40" s="43">
        <f t="shared" si="54"/>
        <v>0.01021817178</v>
      </c>
      <c r="H40" s="43">
        <f t="shared" si="54"/>
        <v>0.007567378776</v>
      </c>
      <c r="I40" s="43">
        <f t="shared" si="54"/>
        <v>0.006756388601</v>
      </c>
      <c r="J40" s="43">
        <f t="shared" si="54"/>
        <v>0.009702660407</v>
      </c>
      <c r="K40" s="43">
        <f t="shared" si="54"/>
        <v>0.009702660407</v>
      </c>
      <c r="L40" s="43">
        <f t="shared" si="54"/>
        <v>0.009702660407</v>
      </c>
      <c r="M40" s="43">
        <f t="shared" si="54"/>
        <v>0.009702660407</v>
      </c>
      <c r="N40" s="43">
        <f t="shared" si="54"/>
        <v>0.009702660407</v>
      </c>
    </row>
    <row r="41" ht="15.75" customHeight="1">
      <c r="A41" s="7" t="s">
        <v>149</v>
      </c>
      <c r="B41" s="32">
        <f t="shared" ref="B41:I41" si="55">+IFERROR(B38/B48,"nm")</f>
        <v>0.1914556962</v>
      </c>
      <c r="C41" s="32">
        <f t="shared" si="55"/>
        <v>0.179245283</v>
      </c>
      <c r="D41" s="32">
        <f t="shared" si="55"/>
        <v>0.1709401709</v>
      </c>
      <c r="E41" s="32">
        <f t="shared" si="55"/>
        <v>0.1886792453</v>
      </c>
      <c r="F41" s="32">
        <f t="shared" si="55"/>
        <v>0.183046683</v>
      </c>
      <c r="G41" s="32">
        <f t="shared" si="55"/>
        <v>0.2294573643</v>
      </c>
      <c r="H41" s="32">
        <f t="shared" si="55"/>
        <v>0.2106969206</v>
      </c>
      <c r="I41" s="32">
        <f t="shared" si="55"/>
        <v>0.1940532081</v>
      </c>
      <c r="J41" s="47">
        <f t="shared" ref="J41:N41" si="56">+I41</f>
        <v>0.1940532081</v>
      </c>
      <c r="K41" s="47">
        <f t="shared" si="56"/>
        <v>0.1940532081</v>
      </c>
      <c r="L41" s="47">
        <f t="shared" si="56"/>
        <v>0.1940532081</v>
      </c>
      <c r="M41" s="47">
        <f t="shared" si="56"/>
        <v>0.1940532081</v>
      </c>
      <c r="N41" s="47">
        <f t="shared" si="56"/>
        <v>0.1940532081</v>
      </c>
    </row>
    <row r="42" ht="15.75" customHeight="1">
      <c r="A42" s="12" t="s">
        <v>143</v>
      </c>
      <c r="B42" s="12">
        <f>+Historicals!B138</f>
        <v>3645</v>
      </c>
      <c r="C42" s="12">
        <f>+Historicals!C138</f>
        <v>3763</v>
      </c>
      <c r="D42" s="12">
        <f>+Historicals!D138</f>
        <v>3875</v>
      </c>
      <c r="E42" s="12">
        <f>+Historicals!E138</f>
        <v>3600</v>
      </c>
      <c r="F42" s="12">
        <f>+Historicals!F138</f>
        <v>3925</v>
      </c>
      <c r="G42" s="12">
        <f>+Historicals!G138</f>
        <v>2899</v>
      </c>
      <c r="H42" s="12">
        <f>+Historicals!H138</f>
        <v>5089</v>
      </c>
      <c r="I42" s="12">
        <f>+Historicals!I138</f>
        <v>5114</v>
      </c>
      <c r="J42" s="12">
        <f t="shared" ref="J42:N42" si="57">+J35-J38</f>
        <v>6506.839042</v>
      </c>
      <c r="K42" s="12">
        <f t="shared" si="57"/>
        <v>6785.234662</v>
      </c>
      <c r="L42" s="12">
        <f t="shared" si="57"/>
        <v>7082.733165</v>
      </c>
      <c r="M42" s="12">
        <f t="shared" si="57"/>
        <v>7401.763485</v>
      </c>
      <c r="N42" s="12">
        <f t="shared" si="57"/>
        <v>7745.183879</v>
      </c>
    </row>
    <row r="43" ht="15.75" customHeight="1">
      <c r="A43" s="42" t="s">
        <v>138</v>
      </c>
      <c r="B43" s="43" t="str">
        <f t="shared" ref="B43:N43" si="58">+IFERROR(B42/A42-1,"nm")</f>
        <v>nm</v>
      </c>
      <c r="C43" s="43">
        <f t="shared" si="58"/>
        <v>0.03237311385</v>
      </c>
      <c r="D43" s="43">
        <f t="shared" si="58"/>
        <v>0.02976348658</v>
      </c>
      <c r="E43" s="43">
        <f t="shared" si="58"/>
        <v>-0.07096774194</v>
      </c>
      <c r="F43" s="43">
        <f t="shared" si="58"/>
        <v>0.09027777778</v>
      </c>
      <c r="G43" s="43">
        <f t="shared" si="58"/>
        <v>-0.2614012739</v>
      </c>
      <c r="H43" s="43">
        <f t="shared" si="58"/>
        <v>0.7554329079</v>
      </c>
      <c r="I43" s="43">
        <f t="shared" si="58"/>
        <v>0.004912556494</v>
      </c>
      <c r="J43" s="43">
        <f t="shared" si="58"/>
        <v>0.272358045</v>
      </c>
      <c r="K43" s="43">
        <f t="shared" si="58"/>
        <v>0.04278507864</v>
      </c>
      <c r="L43" s="43">
        <f t="shared" si="58"/>
        <v>0.04384498361</v>
      </c>
      <c r="M43" s="43">
        <f t="shared" si="58"/>
        <v>0.04504339116</v>
      </c>
      <c r="N43" s="43">
        <f t="shared" si="58"/>
        <v>0.04639710451</v>
      </c>
    </row>
    <row r="44" ht="15.75" customHeight="1">
      <c r="A44" s="42" t="s">
        <v>140</v>
      </c>
      <c r="B44" s="43">
        <f t="shared" ref="B44:N44" si="59">+IFERROR(B42/B$21,"nm")</f>
        <v>0.2652838428</v>
      </c>
      <c r="C44" s="43">
        <f t="shared" si="59"/>
        <v>0.2097430467</v>
      </c>
      <c r="D44" s="43">
        <f t="shared" si="59"/>
        <v>0.2546661409</v>
      </c>
      <c r="E44" s="43">
        <f t="shared" si="59"/>
        <v>0.2423426456</v>
      </c>
      <c r="F44" s="43">
        <f t="shared" si="59"/>
        <v>0.2468242988</v>
      </c>
      <c r="G44" s="43">
        <f t="shared" si="59"/>
        <v>0.2001518917</v>
      </c>
      <c r="H44" s="43">
        <f t="shared" si="59"/>
        <v>0.2962337738</v>
      </c>
      <c r="I44" s="43">
        <f t="shared" si="59"/>
        <v>0.2786465428</v>
      </c>
      <c r="J44" s="43">
        <f t="shared" si="59"/>
        <v>0.3402973396</v>
      </c>
      <c r="K44" s="43">
        <f t="shared" si="59"/>
        <v>0.3402973396</v>
      </c>
      <c r="L44" s="43">
        <f t="shared" si="59"/>
        <v>0.3402973396</v>
      </c>
      <c r="M44" s="43">
        <f t="shared" si="59"/>
        <v>0.3402973396</v>
      </c>
      <c r="N44" s="43">
        <f t="shared" si="59"/>
        <v>0.3402973396</v>
      </c>
    </row>
    <row r="45" ht="15.75" customHeight="1">
      <c r="A45" s="12" t="s">
        <v>144</v>
      </c>
      <c r="B45" s="12">
        <f>+Historicals!B160</f>
        <v>208</v>
      </c>
      <c r="C45" s="12">
        <f>+Historicals!C160</f>
        <v>242</v>
      </c>
      <c r="D45" s="12">
        <f>+Historicals!D160</f>
        <v>223</v>
      </c>
      <c r="E45" s="12">
        <f>+Historicals!E160</f>
        <v>196</v>
      </c>
      <c r="F45" s="12">
        <f>+Historicals!F160</f>
        <v>117</v>
      </c>
      <c r="G45" s="12">
        <f>+Historicals!G160</f>
        <v>110</v>
      </c>
      <c r="H45" s="12">
        <f>+Historicals!H160</f>
        <v>98</v>
      </c>
      <c r="I45" s="12">
        <f>+Historicals!I160</f>
        <v>146</v>
      </c>
      <c r="J45" s="12">
        <f t="shared" ref="J45:N45" si="60">+J21*J47</f>
        <v>152.1098371</v>
      </c>
      <c r="K45" s="12">
        <f t="shared" si="60"/>
        <v>158.6178684</v>
      </c>
      <c r="L45" s="12">
        <f t="shared" si="60"/>
        <v>165.5724663</v>
      </c>
      <c r="M45" s="12">
        <f t="shared" si="60"/>
        <v>173.0304116</v>
      </c>
      <c r="N45" s="12">
        <f t="shared" si="60"/>
        <v>181.0585217</v>
      </c>
    </row>
    <row r="46" ht="15.75" customHeight="1">
      <c r="A46" s="42" t="s">
        <v>138</v>
      </c>
      <c r="B46" s="43" t="str">
        <f t="shared" ref="B46:N46" si="61">+IFERROR(B45/A45-1,"nm")</f>
        <v>nm</v>
      </c>
      <c r="C46" s="43">
        <f t="shared" si="61"/>
        <v>0.1634615385</v>
      </c>
      <c r="D46" s="43">
        <f t="shared" si="61"/>
        <v>-0.07851239669</v>
      </c>
      <c r="E46" s="43">
        <f t="shared" si="61"/>
        <v>-0.1210762332</v>
      </c>
      <c r="F46" s="43">
        <f t="shared" si="61"/>
        <v>-0.4030612245</v>
      </c>
      <c r="G46" s="43">
        <f t="shared" si="61"/>
        <v>-0.05982905983</v>
      </c>
      <c r="H46" s="43">
        <f t="shared" si="61"/>
        <v>-0.1090909091</v>
      </c>
      <c r="I46" s="43">
        <f t="shared" si="61"/>
        <v>0.4897959184</v>
      </c>
      <c r="J46" s="43">
        <f t="shared" si="61"/>
        <v>0.0418481992</v>
      </c>
      <c r="K46" s="43">
        <f t="shared" si="61"/>
        <v>0.04278507864</v>
      </c>
      <c r="L46" s="43">
        <f t="shared" si="61"/>
        <v>0.04384498361</v>
      </c>
      <c r="M46" s="43">
        <f t="shared" si="61"/>
        <v>0.04504339116</v>
      </c>
      <c r="N46" s="43">
        <f t="shared" si="61"/>
        <v>0.04639710451</v>
      </c>
    </row>
    <row r="47" ht="15.75" customHeight="1">
      <c r="A47" s="42" t="s">
        <v>142</v>
      </c>
      <c r="B47" s="43">
        <f t="shared" ref="B47:I47" si="62">+IFERROR(B45/B$21,"nm")</f>
        <v>0.01513828239</v>
      </c>
      <c r="C47" s="43">
        <f t="shared" si="62"/>
        <v>0.01348865727</v>
      </c>
      <c r="D47" s="43">
        <f t="shared" si="62"/>
        <v>0.01465562566</v>
      </c>
      <c r="E47" s="43">
        <f t="shared" si="62"/>
        <v>0.0131942107</v>
      </c>
      <c r="F47" s="43">
        <f t="shared" si="62"/>
        <v>0.007357565086</v>
      </c>
      <c r="G47" s="43">
        <f t="shared" si="62"/>
        <v>0.007594587131</v>
      </c>
      <c r="H47" s="43">
        <f t="shared" si="62"/>
        <v>0.005704639385</v>
      </c>
      <c r="I47" s="43">
        <f t="shared" si="62"/>
        <v>0.007955102708</v>
      </c>
      <c r="J47" s="47">
        <f t="shared" ref="J47:N47" si="63">+I47</f>
        <v>0.007955102708</v>
      </c>
      <c r="K47" s="47">
        <f t="shared" si="63"/>
        <v>0.007955102708</v>
      </c>
      <c r="L47" s="47">
        <f t="shared" si="63"/>
        <v>0.007955102708</v>
      </c>
      <c r="M47" s="47">
        <f t="shared" si="63"/>
        <v>0.007955102708</v>
      </c>
      <c r="N47" s="47">
        <f t="shared" si="63"/>
        <v>0.007955102708</v>
      </c>
    </row>
    <row r="48" ht="15.75" customHeight="1">
      <c r="A48" s="12" t="s">
        <v>145</v>
      </c>
      <c r="B48" s="12">
        <f>+Historicals!B149</f>
        <v>632</v>
      </c>
      <c r="C48" s="12">
        <f>+Historicals!C149</f>
        <v>742</v>
      </c>
      <c r="D48" s="12">
        <f>+Historicals!D149</f>
        <v>819</v>
      </c>
      <c r="E48" s="12">
        <f>+Historicals!E149</f>
        <v>848</v>
      </c>
      <c r="F48" s="12">
        <f>+Historicals!F149</f>
        <v>814</v>
      </c>
      <c r="G48" s="12">
        <f>+Historicals!G149</f>
        <v>645</v>
      </c>
      <c r="H48" s="48">
        <f>+Historicals!H149</f>
        <v>617</v>
      </c>
      <c r="I48" s="48">
        <f>+Historicals!I149</f>
        <v>639</v>
      </c>
      <c r="J48" s="12">
        <f t="shared" ref="J48:N48" si="64">+J21*J50</f>
        <v>956.052</v>
      </c>
      <c r="K48" s="12">
        <f t="shared" si="64"/>
        <v>996.95676</v>
      </c>
      <c r="L48" s="12">
        <f t="shared" si="64"/>
        <v>1040.668313</v>
      </c>
      <c r="M48" s="12">
        <f t="shared" si="64"/>
        <v>1087.543543</v>
      </c>
      <c r="N48" s="12">
        <f t="shared" si="64"/>
        <v>1138.002414</v>
      </c>
    </row>
    <row r="49" ht="15.75" customHeight="1">
      <c r="A49" s="42" t="s">
        <v>138</v>
      </c>
      <c r="B49" s="43" t="str">
        <f t="shared" ref="B49:I49" si="65">+IFERROR(B48/A48-1,"nm")</f>
        <v>nm</v>
      </c>
      <c r="C49" s="43">
        <f t="shared" si="65"/>
        <v>0.1740506329</v>
      </c>
      <c r="D49" s="43">
        <f t="shared" si="65"/>
        <v>0.1037735849</v>
      </c>
      <c r="E49" s="43">
        <f t="shared" si="65"/>
        <v>0.03540903541</v>
      </c>
      <c r="F49" s="43">
        <f t="shared" si="65"/>
        <v>-0.04009433962</v>
      </c>
      <c r="G49" s="43">
        <f t="shared" si="65"/>
        <v>-0.2076167076</v>
      </c>
      <c r="H49" s="43">
        <f t="shared" si="65"/>
        <v>-0.04341085271</v>
      </c>
      <c r="I49" s="43">
        <f t="shared" si="65"/>
        <v>0.03565640194</v>
      </c>
      <c r="J49" s="43">
        <f t="shared" ref="J49:N49" si="66">+J50+J51</f>
        <v>0.05</v>
      </c>
      <c r="K49" s="43">
        <f t="shared" si="66"/>
        <v>0.05</v>
      </c>
      <c r="L49" s="43">
        <f t="shared" si="66"/>
        <v>0.05</v>
      </c>
      <c r="M49" s="43">
        <f t="shared" si="66"/>
        <v>0.05</v>
      </c>
      <c r="N49" s="43">
        <f t="shared" si="66"/>
        <v>0.05</v>
      </c>
    </row>
    <row r="50" ht="15.75" customHeight="1">
      <c r="A50" s="42" t="s">
        <v>142</v>
      </c>
      <c r="B50" s="43" t="str">
        <f>+IFERROR(B48/B$24,"nm")</f>
        <v>nm</v>
      </c>
      <c r="C50" s="43">
        <f t="shared" ref="C50:I50" si="67">+IFERROR(C48/C$21,"nm")</f>
        <v>0.04135778385</v>
      </c>
      <c r="D50" s="43">
        <f t="shared" si="67"/>
        <v>0.05382492114</v>
      </c>
      <c r="E50" s="43">
        <f t="shared" si="67"/>
        <v>0.05708515651</v>
      </c>
      <c r="F50" s="43">
        <f t="shared" si="67"/>
        <v>0.05118852974</v>
      </c>
      <c r="G50" s="43">
        <f t="shared" si="67"/>
        <v>0.04453189727</v>
      </c>
      <c r="H50" s="43">
        <f t="shared" si="67"/>
        <v>0.03591594388</v>
      </c>
      <c r="I50" s="43">
        <f t="shared" si="67"/>
        <v>0.0348171961</v>
      </c>
      <c r="J50" s="47">
        <v>0.05</v>
      </c>
      <c r="K50" s="47">
        <f t="shared" ref="K50:N50" si="68">+J50</f>
        <v>0.05</v>
      </c>
      <c r="L50" s="47">
        <f t="shared" si="68"/>
        <v>0.05</v>
      </c>
      <c r="M50" s="47">
        <f t="shared" si="68"/>
        <v>0.05</v>
      </c>
      <c r="N50" s="47">
        <f t="shared" si="68"/>
        <v>0.05</v>
      </c>
    </row>
    <row r="51" ht="15.75" customHeight="1">
      <c r="A51" s="45" t="str">
        <f>+Historicals!A115</f>
        <v>Europe, Middle East &amp; Africa</v>
      </c>
      <c r="B51" s="45"/>
      <c r="C51" s="45"/>
      <c r="D51" s="45"/>
      <c r="E51" s="45"/>
      <c r="F51" s="45"/>
      <c r="G51" s="45"/>
      <c r="H51" s="45"/>
      <c r="I51" s="45"/>
      <c r="J51" s="40"/>
      <c r="K51" s="40"/>
      <c r="L51" s="40"/>
      <c r="M51" s="40"/>
      <c r="N51" s="40"/>
    </row>
    <row r="52" ht="15.75" customHeight="1">
      <c r="A52" s="12" t="s">
        <v>146</v>
      </c>
      <c r="B52" s="12">
        <f t="shared" ref="B52:I52" si="69">B54+B58+B62</f>
        <v>11024</v>
      </c>
      <c r="C52" s="12">
        <f t="shared" si="69"/>
        <v>7568</v>
      </c>
      <c r="D52" s="12">
        <f t="shared" si="69"/>
        <v>7970</v>
      </c>
      <c r="E52" s="12">
        <f t="shared" si="69"/>
        <v>9242</v>
      </c>
      <c r="F52" s="12">
        <f t="shared" si="69"/>
        <v>9812</v>
      </c>
      <c r="G52" s="12">
        <f t="shared" si="69"/>
        <v>9347</v>
      </c>
      <c r="H52" s="12">
        <f t="shared" si="69"/>
        <v>11456</v>
      </c>
      <c r="I52" s="12">
        <f t="shared" si="69"/>
        <v>12479</v>
      </c>
      <c r="J52" s="8">
        <f t="shared" ref="J52:N52" si="70">+SUM(J54+J58+J62)</f>
        <v>14605.4</v>
      </c>
      <c r="K52" s="8">
        <f t="shared" si="70"/>
        <v>17101.67</v>
      </c>
      <c r="L52" s="8">
        <f t="shared" si="70"/>
        <v>20033.4725</v>
      </c>
      <c r="M52" s="8">
        <f t="shared" si="70"/>
        <v>23478.35578</v>
      </c>
      <c r="N52" s="8">
        <f t="shared" si="70"/>
        <v>27527.94402</v>
      </c>
    </row>
    <row r="53" ht="15.75" customHeight="1">
      <c r="A53" s="42" t="s">
        <v>138</v>
      </c>
      <c r="B53" s="43" t="str">
        <f t="shared" ref="B53:N53" si="71">+IFERROR(B52/A52-1,"nm")</f>
        <v>nm</v>
      </c>
      <c r="C53" s="43">
        <f t="shared" si="71"/>
        <v>-0.3134978229</v>
      </c>
      <c r="D53" s="43">
        <f t="shared" si="71"/>
        <v>0.05311839323</v>
      </c>
      <c r="E53" s="43">
        <f t="shared" si="71"/>
        <v>0.1595984944</v>
      </c>
      <c r="F53" s="43">
        <f t="shared" si="71"/>
        <v>0.06167496213</v>
      </c>
      <c r="G53" s="43">
        <f t="shared" si="71"/>
        <v>-0.04739094986</v>
      </c>
      <c r="H53" s="43">
        <f t="shared" si="71"/>
        <v>0.2256338932</v>
      </c>
      <c r="I53" s="43">
        <f t="shared" si="71"/>
        <v>0.08929818436</v>
      </c>
      <c r="J53" s="44">
        <f t="shared" si="71"/>
        <v>0.1703982691</v>
      </c>
      <c r="K53" s="44">
        <f t="shared" si="71"/>
        <v>0.1709141824</v>
      </c>
      <c r="L53" s="44">
        <f t="shared" si="71"/>
        <v>0.1714336962</v>
      </c>
      <c r="M53" s="44">
        <f t="shared" si="71"/>
        <v>0.1719563733</v>
      </c>
      <c r="N53" s="44">
        <f t="shared" si="71"/>
        <v>0.1724817651</v>
      </c>
    </row>
    <row r="54" ht="15.75" customHeight="1">
      <c r="A54" s="46" t="s">
        <v>110</v>
      </c>
      <c r="B54" s="8">
        <f>+Historicals!B116</f>
        <v>7344</v>
      </c>
      <c r="C54" s="8">
        <f>+Historicals!C116</f>
        <v>5043</v>
      </c>
      <c r="D54" s="8">
        <f>+Historicals!D116</f>
        <v>5192</v>
      </c>
      <c r="E54" s="8">
        <f>+Historicals!E116</f>
        <v>5875</v>
      </c>
      <c r="F54" s="8">
        <f>+Historicals!F116</f>
        <v>6293</v>
      </c>
      <c r="G54" s="8">
        <f>+Historicals!G116</f>
        <v>5892</v>
      </c>
      <c r="H54" s="8">
        <f>+Historicals!H116</f>
        <v>6970</v>
      </c>
      <c r="I54" s="8">
        <f>+Historicals!I116</f>
        <v>7388</v>
      </c>
      <c r="J54" s="8">
        <f t="shared" ref="J54:N54" si="72">+I54*(1+J55)</f>
        <v>8496.2</v>
      </c>
      <c r="K54" s="8">
        <f t="shared" si="72"/>
        <v>9770.63</v>
      </c>
      <c r="L54" s="8">
        <f t="shared" si="72"/>
        <v>11236.2245</v>
      </c>
      <c r="M54" s="8">
        <f t="shared" si="72"/>
        <v>12921.65818</v>
      </c>
      <c r="N54" s="8">
        <f t="shared" si="72"/>
        <v>14859.9069</v>
      </c>
    </row>
    <row r="55" ht="15.75" customHeight="1">
      <c r="A55" s="42" t="s">
        <v>138</v>
      </c>
      <c r="B55" s="43" t="str">
        <f t="shared" ref="B55:I55" si="73">+IFERROR(B54/A54-1,"nm")</f>
        <v>nm</v>
      </c>
      <c r="C55" s="43">
        <f t="shared" si="73"/>
        <v>-0.3133169935</v>
      </c>
      <c r="D55" s="43">
        <f t="shared" si="73"/>
        <v>0.02954590522</v>
      </c>
      <c r="E55" s="43">
        <f t="shared" si="73"/>
        <v>0.1315485362</v>
      </c>
      <c r="F55" s="43">
        <f t="shared" si="73"/>
        <v>0.07114893617</v>
      </c>
      <c r="G55" s="43">
        <f t="shared" si="73"/>
        <v>-0.06372159542</v>
      </c>
      <c r="H55" s="43">
        <f t="shared" si="73"/>
        <v>0.1829599457</v>
      </c>
      <c r="I55" s="43">
        <f t="shared" si="73"/>
        <v>0.0599713056</v>
      </c>
      <c r="J55" s="44">
        <f t="shared" ref="J55:N55" si="74">+J56+J57</f>
        <v>0.15</v>
      </c>
      <c r="K55" s="44">
        <f t="shared" si="74"/>
        <v>0.15</v>
      </c>
      <c r="L55" s="44">
        <f t="shared" si="74"/>
        <v>0.15</v>
      </c>
      <c r="M55" s="44">
        <f t="shared" si="74"/>
        <v>0.15</v>
      </c>
      <c r="N55" s="44">
        <f t="shared" si="74"/>
        <v>0.15</v>
      </c>
    </row>
    <row r="56" ht="15.75" customHeight="1">
      <c r="A56" s="42" t="s">
        <v>147</v>
      </c>
      <c r="B56" s="43" t="str">
        <f>+Historicals!B188</f>
        <v/>
      </c>
      <c r="C56" s="43">
        <f>+Historicals!C188</f>
        <v>-0.3133169935</v>
      </c>
      <c r="D56" s="43">
        <f>+Historicals!D188</f>
        <v>0.02954590522</v>
      </c>
      <c r="E56" s="43">
        <f>+Historicals!E188</f>
        <v>0.1315485362</v>
      </c>
      <c r="F56" s="43">
        <f>+Historicals!F188</f>
        <v>0.07114893617</v>
      </c>
      <c r="G56" s="43">
        <f>+Historicals!G188</f>
        <v>-0.06372159542</v>
      </c>
      <c r="H56" s="43">
        <f>+Historicals!H188</f>
        <v>0.1829599457</v>
      </c>
      <c r="I56" s="43">
        <f>+Historicals!I188</f>
        <v>0.09</v>
      </c>
      <c r="J56" s="44">
        <v>0.15</v>
      </c>
      <c r="K56" s="44">
        <f t="shared" ref="K56:N56" si="75">+J56</f>
        <v>0.15</v>
      </c>
      <c r="L56" s="44">
        <f t="shared" si="75"/>
        <v>0.15</v>
      </c>
      <c r="M56" s="44">
        <f t="shared" si="75"/>
        <v>0.15</v>
      </c>
      <c r="N56" s="44">
        <f t="shared" si="75"/>
        <v>0.15</v>
      </c>
    </row>
    <row r="57" ht="15.75" customHeight="1">
      <c r="A57" s="42" t="s">
        <v>148</v>
      </c>
      <c r="B57" s="43" t="str">
        <f t="shared" ref="B57:I57" si="76">+IFERROR(B55-B56,"nm")</f>
        <v>nm</v>
      </c>
      <c r="C57" s="43">
        <f t="shared" si="76"/>
        <v>0</v>
      </c>
      <c r="D57" s="43">
        <f t="shared" si="76"/>
        <v>0</v>
      </c>
      <c r="E57" s="43">
        <f t="shared" si="76"/>
        <v>0</v>
      </c>
      <c r="F57" s="43">
        <f t="shared" si="76"/>
        <v>0</v>
      </c>
      <c r="G57" s="43">
        <f t="shared" si="76"/>
        <v>0</v>
      </c>
      <c r="H57" s="43">
        <f t="shared" si="76"/>
        <v>0</v>
      </c>
      <c r="I57" s="43">
        <f t="shared" si="76"/>
        <v>-0.0300286944</v>
      </c>
      <c r="J57" s="44">
        <v>0.0</v>
      </c>
      <c r="K57" s="44">
        <f t="shared" ref="K57:N57" si="77">+J57</f>
        <v>0</v>
      </c>
      <c r="L57" s="44">
        <f t="shared" si="77"/>
        <v>0</v>
      </c>
      <c r="M57" s="44">
        <f t="shared" si="77"/>
        <v>0</v>
      </c>
      <c r="N57" s="44">
        <f t="shared" si="77"/>
        <v>0</v>
      </c>
    </row>
    <row r="58" ht="15.75" customHeight="1">
      <c r="A58" s="46" t="s">
        <v>111</v>
      </c>
      <c r="B58" s="8">
        <f>+Historicals!B117</f>
        <v>3072</v>
      </c>
      <c r="C58" s="8">
        <f>+Historicals!C117</f>
        <v>2149</v>
      </c>
      <c r="D58" s="8">
        <f>+Historicals!D117</f>
        <v>2395</v>
      </c>
      <c r="E58" s="8">
        <f>+Historicals!E117</f>
        <v>2940</v>
      </c>
      <c r="F58" s="8">
        <f>+Historicals!F117</f>
        <v>3087</v>
      </c>
      <c r="G58" s="8">
        <f>+Historicals!G117</f>
        <v>3053</v>
      </c>
      <c r="H58" s="8">
        <f>+Historicals!H117</f>
        <v>3996</v>
      </c>
      <c r="I58" s="8">
        <f>+Historicals!I117</f>
        <v>4527</v>
      </c>
      <c r="J58" s="8">
        <f t="shared" ref="J58:N58" si="78">+I58*(1+J59)</f>
        <v>5432.4</v>
      </c>
      <c r="K58" s="8">
        <f t="shared" si="78"/>
        <v>6518.88</v>
      </c>
      <c r="L58" s="8">
        <f t="shared" si="78"/>
        <v>7822.656</v>
      </c>
      <c r="M58" s="8">
        <f t="shared" si="78"/>
        <v>9387.1872</v>
      </c>
      <c r="N58" s="8">
        <f t="shared" si="78"/>
        <v>11264.62464</v>
      </c>
    </row>
    <row r="59" ht="15.75" customHeight="1">
      <c r="A59" s="42" t="s">
        <v>138</v>
      </c>
      <c r="B59" s="43" t="str">
        <f t="shared" ref="B59:I59" si="79">+IFERROR(B58/A58-1,"nm")</f>
        <v>nm</v>
      </c>
      <c r="C59" s="43">
        <f t="shared" si="79"/>
        <v>-0.3004557292</v>
      </c>
      <c r="D59" s="43">
        <f t="shared" si="79"/>
        <v>0.1144718474</v>
      </c>
      <c r="E59" s="43">
        <f t="shared" si="79"/>
        <v>0.2275574113</v>
      </c>
      <c r="F59" s="43">
        <f t="shared" si="79"/>
        <v>0.05</v>
      </c>
      <c r="G59" s="43">
        <f t="shared" si="79"/>
        <v>-0.01101392938</v>
      </c>
      <c r="H59" s="43">
        <f t="shared" si="79"/>
        <v>0.3088765149</v>
      </c>
      <c r="I59" s="43">
        <f t="shared" si="79"/>
        <v>0.1328828829</v>
      </c>
      <c r="J59" s="44">
        <f t="shared" ref="J59:N59" si="80">+J60+J61</f>
        <v>0.2</v>
      </c>
      <c r="K59" s="44">
        <f t="shared" si="80"/>
        <v>0.2</v>
      </c>
      <c r="L59" s="44">
        <f t="shared" si="80"/>
        <v>0.2</v>
      </c>
      <c r="M59" s="44">
        <f t="shared" si="80"/>
        <v>0.2</v>
      </c>
      <c r="N59" s="44">
        <f t="shared" si="80"/>
        <v>0.2</v>
      </c>
    </row>
    <row r="60" ht="15.75" customHeight="1">
      <c r="A60" s="42" t="s">
        <v>147</v>
      </c>
      <c r="B60" s="43" t="str">
        <f>+Historicals!B189</f>
        <v/>
      </c>
      <c r="C60" s="43">
        <f>+Historicals!C189</f>
        <v>-0.3004557292</v>
      </c>
      <c r="D60" s="43">
        <f>+Historicals!D189</f>
        <v>0.1144718474</v>
      </c>
      <c r="E60" s="43">
        <f>+Historicals!E189</f>
        <v>0.2275574113</v>
      </c>
      <c r="F60" s="43">
        <f>+Historicals!F189</f>
        <v>0.05</v>
      </c>
      <c r="G60" s="43">
        <f>+Historicals!G189</f>
        <v>-0.01101392938</v>
      </c>
      <c r="H60" s="43">
        <f>+Historicals!H189</f>
        <v>0.3088765149</v>
      </c>
      <c r="I60" s="43">
        <f>+Historicals!I189</f>
        <v>0.16</v>
      </c>
      <c r="J60" s="44">
        <v>0.2</v>
      </c>
      <c r="K60" s="44">
        <f t="shared" ref="K60:N60" si="81">+J60</f>
        <v>0.2</v>
      </c>
      <c r="L60" s="44">
        <f t="shared" si="81"/>
        <v>0.2</v>
      </c>
      <c r="M60" s="44">
        <f t="shared" si="81"/>
        <v>0.2</v>
      </c>
      <c r="N60" s="44">
        <f t="shared" si="81"/>
        <v>0.2</v>
      </c>
    </row>
    <row r="61" ht="15.75" customHeight="1">
      <c r="A61" s="42" t="s">
        <v>148</v>
      </c>
      <c r="B61" s="43" t="str">
        <f t="shared" ref="B61:I61" si="82">+IFERROR(B59-B60,"nm")</f>
        <v>nm</v>
      </c>
      <c r="C61" s="43">
        <f t="shared" si="82"/>
        <v>0</v>
      </c>
      <c r="D61" s="43">
        <f t="shared" si="82"/>
        <v>0</v>
      </c>
      <c r="E61" s="43">
        <f t="shared" si="82"/>
        <v>0</v>
      </c>
      <c r="F61" s="43">
        <f t="shared" si="82"/>
        <v>0</v>
      </c>
      <c r="G61" s="43">
        <f t="shared" si="82"/>
        <v>0</v>
      </c>
      <c r="H61" s="43">
        <f t="shared" si="82"/>
        <v>0</v>
      </c>
      <c r="I61" s="43">
        <f t="shared" si="82"/>
        <v>-0.02711711712</v>
      </c>
      <c r="J61" s="44">
        <v>0.0</v>
      </c>
      <c r="K61" s="44">
        <f t="shared" ref="K61:N61" si="83">+J61</f>
        <v>0</v>
      </c>
      <c r="L61" s="44">
        <f t="shared" si="83"/>
        <v>0</v>
      </c>
      <c r="M61" s="44">
        <f t="shared" si="83"/>
        <v>0</v>
      </c>
      <c r="N61" s="44">
        <f t="shared" si="83"/>
        <v>0</v>
      </c>
    </row>
    <row r="62" ht="15.75" customHeight="1">
      <c r="A62" s="46" t="s">
        <v>112</v>
      </c>
      <c r="B62" s="8">
        <f>+Historicals!B118</f>
        <v>608</v>
      </c>
      <c r="C62" s="8">
        <f>+Historicals!C118</f>
        <v>376</v>
      </c>
      <c r="D62" s="8">
        <f>+Historicals!D118</f>
        <v>383</v>
      </c>
      <c r="E62" s="8">
        <f>+Historicals!E118</f>
        <v>427</v>
      </c>
      <c r="F62" s="8">
        <f>+Historicals!F118</f>
        <v>432</v>
      </c>
      <c r="G62" s="8">
        <f>+Historicals!G118</f>
        <v>402</v>
      </c>
      <c r="H62" s="8">
        <f>+Historicals!H118</f>
        <v>490</v>
      </c>
      <c r="I62" s="8">
        <f>+Historicals!I118</f>
        <v>564</v>
      </c>
      <c r="J62" s="8">
        <f t="shared" ref="J62:N62" si="84">+I62*(1+J63)</f>
        <v>676.8</v>
      </c>
      <c r="K62" s="8">
        <f t="shared" si="84"/>
        <v>812.16</v>
      </c>
      <c r="L62" s="8">
        <f t="shared" si="84"/>
        <v>974.592</v>
      </c>
      <c r="M62" s="8">
        <f t="shared" si="84"/>
        <v>1169.5104</v>
      </c>
      <c r="N62" s="8">
        <f t="shared" si="84"/>
        <v>1403.41248</v>
      </c>
    </row>
    <row r="63" ht="15.75" customHeight="1">
      <c r="A63" s="42" t="s">
        <v>138</v>
      </c>
      <c r="B63" s="43" t="str">
        <f t="shared" ref="B63:I63" si="85">+IFERROR(B62/A62-1,"nm")</f>
        <v>nm</v>
      </c>
      <c r="C63" s="43">
        <f t="shared" si="85"/>
        <v>-0.3815789474</v>
      </c>
      <c r="D63" s="43">
        <f t="shared" si="85"/>
        <v>0.01861702128</v>
      </c>
      <c r="E63" s="43">
        <f t="shared" si="85"/>
        <v>0.1148825065</v>
      </c>
      <c r="F63" s="43">
        <f t="shared" si="85"/>
        <v>0.01170960187</v>
      </c>
      <c r="G63" s="43">
        <f t="shared" si="85"/>
        <v>-0.06944444444</v>
      </c>
      <c r="H63" s="43">
        <f t="shared" si="85"/>
        <v>0.2189054726</v>
      </c>
      <c r="I63" s="43">
        <f t="shared" si="85"/>
        <v>0.1510204082</v>
      </c>
      <c r="J63" s="44">
        <f t="shared" ref="J63:N63" si="86">+J64+J65</f>
        <v>0.2</v>
      </c>
      <c r="K63" s="44">
        <f t="shared" si="86"/>
        <v>0.2</v>
      </c>
      <c r="L63" s="44">
        <f t="shared" si="86"/>
        <v>0.2</v>
      </c>
      <c r="M63" s="44">
        <f t="shared" si="86"/>
        <v>0.2</v>
      </c>
      <c r="N63" s="44">
        <f t="shared" si="86"/>
        <v>0.2</v>
      </c>
    </row>
    <row r="64" ht="15.75" customHeight="1">
      <c r="A64" s="42" t="s">
        <v>147</v>
      </c>
      <c r="B64" s="43" t="str">
        <f>+Historicals!B190</f>
        <v/>
      </c>
      <c r="C64" s="43">
        <f>+Historicals!C190</f>
        <v>-0.3815789474</v>
      </c>
      <c r="D64" s="43">
        <f>+Historicals!D190</f>
        <v>0.01861702128</v>
      </c>
      <c r="E64" s="43">
        <f>+Historicals!E190</f>
        <v>0.1148825065</v>
      </c>
      <c r="F64" s="43">
        <f>+Historicals!F190</f>
        <v>0.01170960187</v>
      </c>
      <c r="G64" s="43">
        <f>+Historicals!G190</f>
        <v>-0.06944444444</v>
      </c>
      <c r="H64" s="43">
        <f>+Historicals!H190</f>
        <v>0.2189054726</v>
      </c>
      <c r="I64" s="43">
        <f>+Historicals!I190</f>
        <v>0.17</v>
      </c>
      <c r="J64" s="44">
        <v>0.2</v>
      </c>
      <c r="K64" s="44">
        <f t="shared" ref="K64:N64" si="87">+J64</f>
        <v>0.2</v>
      </c>
      <c r="L64" s="44">
        <f t="shared" si="87"/>
        <v>0.2</v>
      </c>
      <c r="M64" s="44">
        <f t="shared" si="87"/>
        <v>0.2</v>
      </c>
      <c r="N64" s="44">
        <f t="shared" si="87"/>
        <v>0.2</v>
      </c>
    </row>
    <row r="65" ht="15.75" customHeight="1">
      <c r="A65" s="42" t="s">
        <v>148</v>
      </c>
      <c r="B65" s="43" t="str">
        <f t="shared" ref="B65:I65" si="88">+IFERROR(B63-B64,"nm")</f>
        <v>nm</v>
      </c>
      <c r="C65" s="43">
        <f t="shared" si="88"/>
        <v>0</v>
      </c>
      <c r="D65" s="43">
        <f t="shared" si="88"/>
        <v>0</v>
      </c>
      <c r="E65" s="43">
        <f t="shared" si="88"/>
        <v>0</v>
      </c>
      <c r="F65" s="43">
        <f t="shared" si="88"/>
        <v>0</v>
      </c>
      <c r="G65" s="43">
        <f t="shared" si="88"/>
        <v>0</v>
      </c>
      <c r="H65" s="43">
        <f t="shared" si="88"/>
        <v>0</v>
      </c>
      <c r="I65" s="43">
        <f t="shared" si="88"/>
        <v>-0.01897959184</v>
      </c>
      <c r="J65" s="44">
        <v>0.0</v>
      </c>
      <c r="K65" s="44">
        <f t="shared" ref="K65:N65" si="89">+J65</f>
        <v>0</v>
      </c>
      <c r="L65" s="44">
        <f t="shared" si="89"/>
        <v>0</v>
      </c>
      <c r="M65" s="44">
        <f t="shared" si="89"/>
        <v>0</v>
      </c>
      <c r="N65" s="44">
        <f t="shared" si="89"/>
        <v>0</v>
      </c>
    </row>
    <row r="66" ht="15.75" customHeight="1">
      <c r="A66" s="12" t="s">
        <v>139</v>
      </c>
      <c r="B66" s="12">
        <f t="shared" ref="B66:I66" si="90">+B73+B69</f>
        <v>2456</v>
      </c>
      <c r="C66" s="12">
        <f t="shared" si="90"/>
        <v>1872</v>
      </c>
      <c r="D66" s="12">
        <f t="shared" si="90"/>
        <v>1613</v>
      </c>
      <c r="E66" s="12">
        <f t="shared" si="90"/>
        <v>1703</v>
      </c>
      <c r="F66" s="12">
        <f t="shared" si="90"/>
        <v>2106</v>
      </c>
      <c r="G66" s="12">
        <f t="shared" si="90"/>
        <v>1673</v>
      </c>
      <c r="H66" s="12">
        <f t="shared" si="90"/>
        <v>2571</v>
      </c>
      <c r="I66" s="12">
        <f t="shared" si="90"/>
        <v>3427</v>
      </c>
      <c r="J66" s="8">
        <f t="shared" ref="J66:N66" si="91">+J52*J68</f>
        <v>4381.62</v>
      </c>
      <c r="K66" s="8">
        <f t="shared" si="91"/>
        <v>5130.501</v>
      </c>
      <c r="L66" s="8">
        <f t="shared" si="91"/>
        <v>6010.04175</v>
      </c>
      <c r="M66" s="8">
        <f t="shared" si="91"/>
        <v>7043.506733</v>
      </c>
      <c r="N66" s="8">
        <f t="shared" si="91"/>
        <v>8258.383206</v>
      </c>
    </row>
    <row r="67" ht="15.75" customHeight="1">
      <c r="A67" s="42" t="s">
        <v>138</v>
      </c>
      <c r="B67" s="43" t="str">
        <f t="shared" ref="B67:N67" si="92">+IFERROR(B66/A66-1,"nm")</f>
        <v>nm</v>
      </c>
      <c r="C67" s="43">
        <f t="shared" si="92"/>
        <v>-0.2377850163</v>
      </c>
      <c r="D67" s="43">
        <f t="shared" si="92"/>
        <v>-0.1383547009</v>
      </c>
      <c r="E67" s="43">
        <f t="shared" si="92"/>
        <v>0.0557966522</v>
      </c>
      <c r="F67" s="43">
        <f t="shared" si="92"/>
        <v>0.2366412214</v>
      </c>
      <c r="G67" s="43">
        <f t="shared" si="92"/>
        <v>-0.2056030389</v>
      </c>
      <c r="H67" s="43">
        <f t="shared" si="92"/>
        <v>0.5367603108</v>
      </c>
      <c r="I67" s="43">
        <f t="shared" si="92"/>
        <v>0.3329443796</v>
      </c>
      <c r="J67" s="44">
        <f t="shared" si="92"/>
        <v>0.278558506</v>
      </c>
      <c r="K67" s="44">
        <f t="shared" si="92"/>
        <v>0.1709141824</v>
      </c>
      <c r="L67" s="44">
        <f t="shared" si="92"/>
        <v>0.1714336962</v>
      </c>
      <c r="M67" s="44">
        <f t="shared" si="92"/>
        <v>0.1719563733</v>
      </c>
      <c r="N67" s="44">
        <f t="shared" si="92"/>
        <v>0.1724817651</v>
      </c>
    </row>
    <row r="68" ht="15.75" customHeight="1">
      <c r="A68" s="42" t="s">
        <v>140</v>
      </c>
      <c r="B68" s="43">
        <f t="shared" ref="B68:I68" si="93">+IFERROR(B66/B$52,"nm")</f>
        <v>0.2227866473</v>
      </c>
      <c r="C68" s="43">
        <f t="shared" si="93"/>
        <v>0.2473572939</v>
      </c>
      <c r="D68" s="43">
        <f t="shared" si="93"/>
        <v>0.2023839398</v>
      </c>
      <c r="E68" s="43">
        <f t="shared" si="93"/>
        <v>0.1842674746</v>
      </c>
      <c r="F68" s="43">
        <f t="shared" si="93"/>
        <v>0.2146351406</v>
      </c>
      <c r="G68" s="43">
        <f t="shared" si="93"/>
        <v>0.1789879106</v>
      </c>
      <c r="H68" s="43">
        <f t="shared" si="93"/>
        <v>0.2244238827</v>
      </c>
      <c r="I68" s="43">
        <f t="shared" si="93"/>
        <v>0.2746213639</v>
      </c>
      <c r="J68" s="44">
        <v>0.3</v>
      </c>
      <c r="K68" s="44">
        <f t="shared" ref="K68:N68" si="94">+J68</f>
        <v>0.3</v>
      </c>
      <c r="L68" s="44">
        <f t="shared" si="94"/>
        <v>0.3</v>
      </c>
      <c r="M68" s="44">
        <f t="shared" si="94"/>
        <v>0.3</v>
      </c>
      <c r="N68" s="44">
        <f t="shared" si="94"/>
        <v>0.3</v>
      </c>
    </row>
    <row r="69" ht="15.75" customHeight="1">
      <c r="A69" s="12" t="s">
        <v>141</v>
      </c>
      <c r="B69" s="12">
        <f>+Historicals!B172</f>
        <v>114</v>
      </c>
      <c r="C69" s="12">
        <f>+Historicals!C172</f>
        <v>85</v>
      </c>
      <c r="D69" s="12">
        <f>+Historicals!D172</f>
        <v>106</v>
      </c>
      <c r="E69" s="12">
        <f>+Historicals!E172</f>
        <v>116</v>
      </c>
      <c r="F69" s="12">
        <f>+Historicals!F172</f>
        <v>111</v>
      </c>
      <c r="G69" s="12">
        <f>+Historicals!G172</f>
        <v>132</v>
      </c>
      <c r="H69" s="12">
        <f>+Historicals!H172</f>
        <v>136</v>
      </c>
      <c r="I69" s="12">
        <f>+Historicals!I172</f>
        <v>134</v>
      </c>
      <c r="J69" s="8">
        <f t="shared" ref="J69:N69" si="95">+J72*J79</f>
        <v>191.4577435</v>
      </c>
      <c r="K69" s="8">
        <f t="shared" si="95"/>
        <v>224.1805872</v>
      </c>
      <c r="L69" s="8">
        <f t="shared" si="95"/>
        <v>262.6126939</v>
      </c>
      <c r="M69" s="8">
        <f t="shared" si="95"/>
        <v>307.7706203</v>
      </c>
      <c r="N69" s="8">
        <f t="shared" si="95"/>
        <v>360.8554401</v>
      </c>
    </row>
    <row r="70" ht="15.75" customHeight="1">
      <c r="A70" s="42" t="s">
        <v>138</v>
      </c>
      <c r="B70" s="43" t="str">
        <f t="shared" ref="B70:N70" si="96">+IFERROR(B69/A69-1,"nm")</f>
        <v>nm</v>
      </c>
      <c r="C70" s="43">
        <f t="shared" si="96"/>
        <v>-0.2543859649</v>
      </c>
      <c r="D70" s="43">
        <f t="shared" si="96"/>
        <v>0.2470588235</v>
      </c>
      <c r="E70" s="43">
        <f t="shared" si="96"/>
        <v>0.09433962264</v>
      </c>
      <c r="F70" s="43">
        <f t="shared" si="96"/>
        <v>-0.04310344828</v>
      </c>
      <c r="G70" s="43">
        <f t="shared" si="96"/>
        <v>0.1891891892</v>
      </c>
      <c r="H70" s="43">
        <f t="shared" si="96"/>
        <v>0.0303030303</v>
      </c>
      <c r="I70" s="43">
        <f t="shared" si="96"/>
        <v>-0.01470588235</v>
      </c>
      <c r="J70" s="44">
        <f t="shared" si="96"/>
        <v>0.4287891304</v>
      </c>
      <c r="K70" s="44">
        <f t="shared" si="96"/>
        <v>0.1709141824</v>
      </c>
      <c r="L70" s="44">
        <f t="shared" si="96"/>
        <v>0.1714336962</v>
      </c>
      <c r="M70" s="44">
        <f t="shared" si="96"/>
        <v>0.1719563733</v>
      </c>
      <c r="N70" s="44">
        <f t="shared" si="96"/>
        <v>0.1724817651</v>
      </c>
    </row>
    <row r="71" ht="15.75" customHeight="1">
      <c r="A71" s="42" t="s">
        <v>142</v>
      </c>
      <c r="B71" s="43">
        <f t="shared" ref="B71:I71" si="97">+IFERROR(B69/B$52,"nm")</f>
        <v>0.01034107402</v>
      </c>
      <c r="C71" s="43">
        <f t="shared" si="97"/>
        <v>0.01123150106</v>
      </c>
      <c r="D71" s="43">
        <f t="shared" si="97"/>
        <v>0.01329987453</v>
      </c>
      <c r="E71" s="43">
        <f t="shared" si="97"/>
        <v>0.0125513958</v>
      </c>
      <c r="F71" s="43">
        <f t="shared" si="97"/>
        <v>0.01131267835</v>
      </c>
      <c r="G71" s="43">
        <f t="shared" si="97"/>
        <v>0.01412217824</v>
      </c>
      <c r="H71" s="43">
        <f t="shared" si="97"/>
        <v>0.01187150838</v>
      </c>
      <c r="I71" s="43">
        <f t="shared" si="97"/>
        <v>0.01073803991</v>
      </c>
      <c r="J71" s="44">
        <f t="shared" ref="J71:N71" si="98">+IFERROR(J69/J$21,"nm")</f>
        <v>0.01001293567</v>
      </c>
      <c r="K71" s="44">
        <f t="shared" si="98"/>
        <v>0.01124324525</v>
      </c>
      <c r="L71" s="44">
        <f t="shared" si="98"/>
        <v>0.01261750217</v>
      </c>
      <c r="M71" s="44">
        <f t="shared" si="98"/>
        <v>0.0141498068</v>
      </c>
      <c r="N71" s="44">
        <f t="shared" si="98"/>
        <v>0.01585477481</v>
      </c>
    </row>
    <row r="72" ht="15.75" customHeight="1">
      <c r="A72" s="42" t="s">
        <v>149</v>
      </c>
      <c r="B72" s="43">
        <f t="shared" ref="B72:I72" si="99">+IFERROR(B69/B79,"nm")</f>
        <v>0.1896838602</v>
      </c>
      <c r="C72" s="43">
        <f t="shared" si="99"/>
        <v>0.1136363636</v>
      </c>
      <c r="D72" s="43">
        <f t="shared" si="99"/>
        <v>0.149506347</v>
      </c>
      <c r="E72" s="43">
        <f t="shared" si="99"/>
        <v>0.136631331</v>
      </c>
      <c r="F72" s="43">
        <f t="shared" si="99"/>
        <v>0.1194833154</v>
      </c>
      <c r="G72" s="43">
        <f t="shared" si="99"/>
        <v>0.1491525424</v>
      </c>
      <c r="H72" s="43">
        <f t="shared" si="99"/>
        <v>0.1384928717</v>
      </c>
      <c r="I72" s="43">
        <f t="shared" si="99"/>
        <v>0.1456521739</v>
      </c>
      <c r="J72" s="44">
        <f t="shared" ref="J72:N72" si="100">+I72</f>
        <v>0.1456521739</v>
      </c>
      <c r="K72" s="44">
        <f t="shared" si="100"/>
        <v>0.1456521739</v>
      </c>
      <c r="L72" s="44">
        <f t="shared" si="100"/>
        <v>0.1456521739</v>
      </c>
      <c r="M72" s="44">
        <f t="shared" si="100"/>
        <v>0.1456521739</v>
      </c>
      <c r="N72" s="44">
        <f t="shared" si="100"/>
        <v>0.1456521739</v>
      </c>
    </row>
    <row r="73" ht="15.75" customHeight="1">
      <c r="A73" s="12" t="s">
        <v>143</v>
      </c>
      <c r="B73" s="12">
        <f>+Historicals!B139</f>
        <v>2342</v>
      </c>
      <c r="C73" s="12">
        <f>+Historicals!C139</f>
        <v>1787</v>
      </c>
      <c r="D73" s="12">
        <f>+Historicals!D139</f>
        <v>1507</v>
      </c>
      <c r="E73" s="12">
        <f>+Historicals!E139</f>
        <v>1587</v>
      </c>
      <c r="F73" s="12">
        <f>+Historicals!F139</f>
        <v>1995</v>
      </c>
      <c r="G73" s="12">
        <f>+Historicals!G139</f>
        <v>1541</v>
      </c>
      <c r="H73" s="12">
        <f>+Historicals!H139</f>
        <v>2435</v>
      </c>
      <c r="I73" s="12">
        <f>+Historicals!I139</f>
        <v>3293</v>
      </c>
      <c r="J73" s="8">
        <f t="shared" ref="J73:N73" si="101">+J66-J69</f>
        <v>4190.162257</v>
      </c>
      <c r="K73" s="8">
        <f t="shared" si="101"/>
        <v>4906.320413</v>
      </c>
      <c r="L73" s="8">
        <f t="shared" si="101"/>
        <v>5747.429056</v>
      </c>
      <c r="M73" s="8">
        <f t="shared" si="101"/>
        <v>6735.736112</v>
      </c>
      <c r="N73" s="8">
        <f t="shared" si="101"/>
        <v>7897.527766</v>
      </c>
    </row>
    <row r="74" ht="15.75" customHeight="1">
      <c r="A74" s="42" t="s">
        <v>138</v>
      </c>
      <c r="B74" s="43" t="str">
        <f t="shared" ref="B74:N74" si="102">+IFERROR(B73/A73-1,"nm")</f>
        <v>nm</v>
      </c>
      <c r="C74" s="43">
        <f t="shared" si="102"/>
        <v>-0.2369769428</v>
      </c>
      <c r="D74" s="43">
        <f t="shared" si="102"/>
        <v>-0.1566871852</v>
      </c>
      <c r="E74" s="43">
        <f t="shared" si="102"/>
        <v>0.05308560053</v>
      </c>
      <c r="F74" s="43">
        <f t="shared" si="102"/>
        <v>0.2570888469</v>
      </c>
      <c r="G74" s="43">
        <f t="shared" si="102"/>
        <v>-0.2275689223</v>
      </c>
      <c r="H74" s="43">
        <f t="shared" si="102"/>
        <v>0.5801427644</v>
      </c>
      <c r="I74" s="43">
        <f t="shared" si="102"/>
        <v>0.3523613963</v>
      </c>
      <c r="J74" s="44">
        <f t="shared" si="102"/>
        <v>0.2724452647</v>
      </c>
      <c r="K74" s="44">
        <f t="shared" si="102"/>
        <v>0.1709141824</v>
      </c>
      <c r="L74" s="44">
        <f t="shared" si="102"/>
        <v>0.1714336962</v>
      </c>
      <c r="M74" s="44">
        <f t="shared" si="102"/>
        <v>0.1719563733</v>
      </c>
      <c r="N74" s="44">
        <f t="shared" si="102"/>
        <v>0.1724817651</v>
      </c>
    </row>
    <row r="75" ht="15.75" customHeight="1">
      <c r="A75" s="42" t="s">
        <v>140</v>
      </c>
      <c r="B75" s="43">
        <f t="shared" ref="B75:I75" si="103">+IFERROR(B73/B$52,"nm")</f>
        <v>0.2124455733</v>
      </c>
      <c r="C75" s="43">
        <f t="shared" si="103"/>
        <v>0.2361257928</v>
      </c>
      <c r="D75" s="43">
        <f t="shared" si="103"/>
        <v>0.1890840652</v>
      </c>
      <c r="E75" s="43">
        <f t="shared" si="103"/>
        <v>0.1717160788</v>
      </c>
      <c r="F75" s="43">
        <f t="shared" si="103"/>
        <v>0.2033224623</v>
      </c>
      <c r="G75" s="43">
        <f t="shared" si="103"/>
        <v>0.1648657323</v>
      </c>
      <c r="H75" s="43">
        <f t="shared" si="103"/>
        <v>0.2125523743</v>
      </c>
      <c r="I75" s="43">
        <f t="shared" si="103"/>
        <v>0.263883324</v>
      </c>
      <c r="J75" s="44">
        <f t="shared" ref="J75:N75" si="104">+IFERROR(J73/J$21,"nm")</f>
        <v>0.2191388259</v>
      </c>
      <c r="K75" s="44">
        <f t="shared" si="104"/>
        <v>0.2460648551</v>
      </c>
      <c r="L75" s="44">
        <f t="shared" si="104"/>
        <v>0.2761412539</v>
      </c>
      <c r="M75" s="44">
        <f t="shared" si="104"/>
        <v>0.3096766174</v>
      </c>
      <c r="N75" s="44">
        <f t="shared" si="104"/>
        <v>0.3469908178</v>
      </c>
    </row>
    <row r="76" ht="15.75" customHeight="1">
      <c r="A76" s="12" t="s">
        <v>144</v>
      </c>
      <c r="B76" s="12">
        <f>+Historicals!B161</f>
        <v>273</v>
      </c>
      <c r="C76" s="12">
        <f>+Historicals!C161</f>
        <v>234</v>
      </c>
      <c r="D76" s="12">
        <f>+Historicals!D161</f>
        <v>173</v>
      </c>
      <c r="E76" s="12">
        <f>+Historicals!E161</f>
        <v>240</v>
      </c>
      <c r="F76" s="12">
        <f>+Historicals!F161</f>
        <v>233</v>
      </c>
      <c r="G76" s="12">
        <f>+Historicals!G161</f>
        <v>139</v>
      </c>
      <c r="H76" s="12">
        <f>+Historicals!H161</f>
        <v>153</v>
      </c>
      <c r="I76" s="12">
        <f>+Historicals!I161</f>
        <v>197</v>
      </c>
      <c r="J76" s="8">
        <f t="shared" ref="J76:N76" si="105">+J52*J78</f>
        <v>230.568459</v>
      </c>
      <c r="K76" s="8">
        <f t="shared" si="105"/>
        <v>269.9758787</v>
      </c>
      <c r="L76" s="8">
        <f t="shared" si="105"/>
        <v>316.2588415</v>
      </c>
      <c r="M76" s="8">
        <f t="shared" si="105"/>
        <v>370.6415648</v>
      </c>
      <c r="N76" s="8">
        <f t="shared" si="105"/>
        <v>434.5704762</v>
      </c>
    </row>
    <row r="77" ht="15.75" customHeight="1">
      <c r="A77" s="42" t="s">
        <v>138</v>
      </c>
      <c r="B77" s="43" t="str">
        <f t="shared" ref="B77:I77" si="106">+IFERROR(B76/A76-1,"nm")</f>
        <v>nm</v>
      </c>
      <c r="C77" s="43">
        <f t="shared" si="106"/>
        <v>-0.1428571429</v>
      </c>
      <c r="D77" s="43">
        <f t="shared" si="106"/>
        <v>-0.2606837607</v>
      </c>
      <c r="E77" s="43">
        <f t="shared" si="106"/>
        <v>0.387283237</v>
      </c>
      <c r="F77" s="43">
        <f t="shared" si="106"/>
        <v>-0.02916666667</v>
      </c>
      <c r="G77" s="43">
        <f t="shared" si="106"/>
        <v>-0.4034334764</v>
      </c>
      <c r="H77" s="43">
        <f t="shared" si="106"/>
        <v>0.1007194245</v>
      </c>
      <c r="I77" s="43">
        <f t="shared" si="106"/>
        <v>0.2875816993</v>
      </c>
      <c r="J77" s="44">
        <v>0.0</v>
      </c>
      <c r="K77" s="44">
        <f t="shared" ref="K77:N77" si="107">+IFERROR(K76/J76-1,"nm")</f>
        <v>0.1709141824</v>
      </c>
      <c r="L77" s="44">
        <f t="shared" si="107"/>
        <v>0.1714336962</v>
      </c>
      <c r="M77" s="44">
        <f t="shared" si="107"/>
        <v>0.1719563733</v>
      </c>
      <c r="N77" s="44">
        <f t="shared" si="107"/>
        <v>0.1724817651</v>
      </c>
    </row>
    <row r="78" ht="15.75" customHeight="1">
      <c r="A78" s="42" t="s">
        <v>142</v>
      </c>
      <c r="B78" s="43">
        <f t="shared" ref="B78:I78" si="108">+IFERROR(B76/B$52,"nm")</f>
        <v>0.02476415094</v>
      </c>
      <c r="C78" s="43">
        <f t="shared" si="108"/>
        <v>0.03091966173</v>
      </c>
      <c r="D78" s="43">
        <f t="shared" si="108"/>
        <v>0.021706399</v>
      </c>
      <c r="E78" s="43">
        <f t="shared" si="108"/>
        <v>0.02596840511</v>
      </c>
      <c r="F78" s="43">
        <f t="shared" si="108"/>
        <v>0.02374643294</v>
      </c>
      <c r="G78" s="43">
        <f t="shared" si="108"/>
        <v>0.01487108163</v>
      </c>
      <c r="H78" s="43">
        <f t="shared" si="108"/>
        <v>0.01335544693</v>
      </c>
      <c r="I78" s="43">
        <f t="shared" si="108"/>
        <v>0.01578652136</v>
      </c>
      <c r="J78" s="44">
        <f t="shared" ref="J78:N78" si="109">+I78</f>
        <v>0.01578652136</v>
      </c>
      <c r="K78" s="44">
        <f t="shared" si="109"/>
        <v>0.01578652136</v>
      </c>
      <c r="L78" s="44">
        <f t="shared" si="109"/>
        <v>0.01578652136</v>
      </c>
      <c r="M78" s="44">
        <f t="shared" si="109"/>
        <v>0.01578652136</v>
      </c>
      <c r="N78" s="44">
        <f t="shared" si="109"/>
        <v>0.01578652136</v>
      </c>
    </row>
    <row r="79" ht="15.75" customHeight="1">
      <c r="A79" s="12" t="s">
        <v>145</v>
      </c>
      <c r="B79" s="12">
        <f>+Historicals!B150</f>
        <v>601</v>
      </c>
      <c r="C79" s="12">
        <f>+Historicals!C150</f>
        <v>748</v>
      </c>
      <c r="D79" s="12">
        <f>+Historicals!D150</f>
        <v>709</v>
      </c>
      <c r="E79" s="12">
        <f>+Historicals!E150</f>
        <v>849</v>
      </c>
      <c r="F79" s="12">
        <f>+Historicals!F150</f>
        <v>929</v>
      </c>
      <c r="G79" s="12">
        <f>+Historicals!G150</f>
        <v>885</v>
      </c>
      <c r="H79" s="48">
        <f>+Historicals!H150</f>
        <v>982</v>
      </c>
      <c r="I79" s="48">
        <f>+Historicals!I150</f>
        <v>920</v>
      </c>
      <c r="J79" s="8">
        <f t="shared" ref="J79:N79" si="110">+J52*J81</f>
        <v>1314.486</v>
      </c>
      <c r="K79" s="8">
        <f t="shared" si="110"/>
        <v>1539.1503</v>
      </c>
      <c r="L79" s="8">
        <f t="shared" si="110"/>
        <v>1803.012525</v>
      </c>
      <c r="M79" s="8">
        <f t="shared" si="110"/>
        <v>2113.05202</v>
      </c>
      <c r="N79" s="8">
        <f t="shared" si="110"/>
        <v>2477.514962</v>
      </c>
    </row>
    <row r="80" ht="15.75" customHeight="1">
      <c r="A80" s="42" t="s">
        <v>138</v>
      </c>
      <c r="B80" s="43" t="str">
        <f t="shared" ref="B80:I80" si="111">+IFERROR(B79/A79-1,"nm")</f>
        <v>nm</v>
      </c>
      <c r="C80" s="43">
        <f t="shared" si="111"/>
        <v>0.2445923461</v>
      </c>
      <c r="D80" s="43">
        <f t="shared" si="111"/>
        <v>-0.05213903743</v>
      </c>
      <c r="E80" s="43">
        <f t="shared" si="111"/>
        <v>0.197461213</v>
      </c>
      <c r="F80" s="43">
        <f t="shared" si="111"/>
        <v>0.09422850412</v>
      </c>
      <c r="G80" s="43">
        <f t="shared" si="111"/>
        <v>-0.04736275565</v>
      </c>
      <c r="H80" s="43">
        <f t="shared" si="111"/>
        <v>0.1096045198</v>
      </c>
      <c r="I80" s="43">
        <f t="shared" si="111"/>
        <v>-0.06313645621</v>
      </c>
      <c r="J80" s="44">
        <f t="shared" ref="J80:N80" si="112">+J81+J82</f>
        <v>0.09</v>
      </c>
      <c r="K80" s="44">
        <f t="shared" si="112"/>
        <v>0.09</v>
      </c>
      <c r="L80" s="44">
        <f t="shared" si="112"/>
        <v>0.09</v>
      </c>
      <c r="M80" s="44">
        <f t="shared" si="112"/>
        <v>0.09</v>
      </c>
      <c r="N80" s="44">
        <f t="shared" si="112"/>
        <v>0.09</v>
      </c>
    </row>
    <row r="81" ht="15.75" customHeight="1">
      <c r="A81" s="42" t="s">
        <v>142</v>
      </c>
      <c r="B81" s="43">
        <f t="shared" ref="B81:I81" si="113">+IFERROR(B79/B$52,"nm")</f>
        <v>0.05451741655</v>
      </c>
      <c r="C81" s="43">
        <f t="shared" si="113"/>
        <v>0.0988372093</v>
      </c>
      <c r="D81" s="43">
        <f t="shared" si="113"/>
        <v>0.08895859473</v>
      </c>
      <c r="E81" s="43">
        <f t="shared" si="113"/>
        <v>0.09186323307</v>
      </c>
      <c r="F81" s="43">
        <f t="shared" si="113"/>
        <v>0.09467998369</v>
      </c>
      <c r="G81" s="43">
        <f t="shared" si="113"/>
        <v>0.09468278592</v>
      </c>
      <c r="H81" s="43">
        <f t="shared" si="113"/>
        <v>0.08571927374</v>
      </c>
      <c r="I81" s="43">
        <f t="shared" si="113"/>
        <v>0.07372385608</v>
      </c>
      <c r="J81" s="44">
        <v>0.09</v>
      </c>
      <c r="K81" s="44">
        <f t="shared" ref="K81:N81" si="114">+J81</f>
        <v>0.09</v>
      </c>
      <c r="L81" s="44">
        <f t="shared" si="114"/>
        <v>0.09</v>
      </c>
      <c r="M81" s="44">
        <f t="shared" si="114"/>
        <v>0.09</v>
      </c>
      <c r="N81" s="44">
        <f t="shared" si="114"/>
        <v>0.09</v>
      </c>
    </row>
    <row r="82" ht="15.75" customHeight="1">
      <c r="A82" s="45" t="str">
        <f>+Historicals!A119</f>
        <v>Greater China</v>
      </c>
      <c r="B82" s="45"/>
      <c r="C82" s="45"/>
      <c r="D82" s="45"/>
      <c r="E82" s="45"/>
      <c r="F82" s="45"/>
      <c r="G82" s="45"/>
      <c r="H82" s="45"/>
      <c r="I82" s="45"/>
      <c r="J82" s="40"/>
      <c r="K82" s="40"/>
      <c r="L82" s="40"/>
      <c r="M82" s="40"/>
      <c r="N82" s="40"/>
    </row>
    <row r="83" ht="15.75" customHeight="1">
      <c r="A83" s="49" t="s">
        <v>150</v>
      </c>
      <c r="B83" s="49">
        <f t="shared" ref="B83:I83" si="115">B85+B89+B93</f>
        <v>3067</v>
      </c>
      <c r="C83" s="49">
        <f t="shared" si="115"/>
        <v>3785</v>
      </c>
      <c r="D83" s="49">
        <f t="shared" si="115"/>
        <v>4237</v>
      </c>
      <c r="E83" s="49">
        <f t="shared" si="115"/>
        <v>5134</v>
      </c>
      <c r="F83" s="49">
        <f t="shared" si="115"/>
        <v>6208</v>
      </c>
      <c r="G83" s="49">
        <f t="shared" si="115"/>
        <v>6679</v>
      </c>
      <c r="H83" s="49">
        <f t="shared" si="115"/>
        <v>8290</v>
      </c>
      <c r="I83" s="49">
        <f t="shared" si="115"/>
        <v>7547</v>
      </c>
      <c r="J83" s="8">
        <f t="shared" ref="J83:N83" si="116">+SUM(J85+J89+J93)</f>
        <v>7643.3</v>
      </c>
      <c r="K83" s="8">
        <f t="shared" si="116"/>
        <v>7774.45</v>
      </c>
      <c r="L83" s="8">
        <f t="shared" si="116"/>
        <v>7939.382</v>
      </c>
      <c r="M83" s="8">
        <f t="shared" si="116"/>
        <v>8137.27495</v>
      </c>
      <c r="N83" s="8">
        <f t="shared" si="116"/>
        <v>8367.538993</v>
      </c>
    </row>
    <row r="84" ht="15.75" customHeight="1">
      <c r="A84" s="50" t="s">
        <v>151</v>
      </c>
      <c r="B84" s="51" t="str">
        <f t="shared" ref="B84:N84" si="117">+IFERROR(B83/A83-1,"nm")</f>
        <v>nm</v>
      </c>
      <c r="C84" s="51">
        <f t="shared" si="117"/>
        <v>0.2341049886</v>
      </c>
      <c r="D84" s="51">
        <f t="shared" si="117"/>
        <v>0.1194187583</v>
      </c>
      <c r="E84" s="51">
        <f t="shared" si="117"/>
        <v>0.211706396</v>
      </c>
      <c r="F84" s="51">
        <f t="shared" si="117"/>
        <v>0.2091936112</v>
      </c>
      <c r="G84" s="51">
        <f t="shared" si="117"/>
        <v>0.07586984536</v>
      </c>
      <c r="H84" s="51">
        <f t="shared" si="117"/>
        <v>0.241203773</v>
      </c>
      <c r="I84" s="51">
        <f t="shared" si="117"/>
        <v>-0.08962605549</v>
      </c>
      <c r="J84" s="44">
        <f t="shared" si="117"/>
        <v>0.0127600371</v>
      </c>
      <c r="K84" s="44">
        <f t="shared" si="117"/>
        <v>0.01715881883</v>
      </c>
      <c r="L84" s="44">
        <f t="shared" si="117"/>
        <v>0.02121461968</v>
      </c>
      <c r="M84" s="44">
        <f t="shared" si="117"/>
        <v>0.02492548538</v>
      </c>
      <c r="N84" s="44">
        <f t="shared" si="117"/>
        <v>0.02829743912</v>
      </c>
    </row>
    <row r="85" ht="15.75" customHeight="1">
      <c r="A85" s="52" t="s">
        <v>152</v>
      </c>
      <c r="B85" s="29">
        <f>+Historicals!B120</f>
        <v>2016</v>
      </c>
      <c r="C85" s="29">
        <f>+Historicals!C120</f>
        <v>2599</v>
      </c>
      <c r="D85" s="29">
        <f>+Historicals!D120</f>
        <v>2920</v>
      </c>
      <c r="E85" s="29">
        <f>+Historicals!E120</f>
        <v>3496</v>
      </c>
      <c r="F85" s="29">
        <f>+Historicals!F120</f>
        <v>4262</v>
      </c>
      <c r="G85" s="29">
        <f>+Historicals!G120</f>
        <v>4635</v>
      </c>
      <c r="H85" s="29">
        <f>+Historicals!H120</f>
        <v>5748</v>
      </c>
      <c r="I85" s="29">
        <f>+Historicals!I120</f>
        <v>5416</v>
      </c>
      <c r="J85" s="8">
        <f t="shared" ref="J85:N85" si="118">+I85*(1+J86)</f>
        <v>5686.8</v>
      </c>
      <c r="K85" s="8">
        <f t="shared" si="118"/>
        <v>5971.14</v>
      </c>
      <c r="L85" s="8">
        <f t="shared" si="118"/>
        <v>6269.697</v>
      </c>
      <c r="M85" s="8">
        <f t="shared" si="118"/>
        <v>6583.18185</v>
      </c>
      <c r="N85" s="8">
        <f t="shared" si="118"/>
        <v>6912.340943</v>
      </c>
    </row>
    <row r="86" ht="15.75" customHeight="1">
      <c r="A86" s="50" t="s">
        <v>151</v>
      </c>
      <c r="B86" s="51" t="str">
        <f t="shared" ref="B86:I86" si="119">+IFERROR(B85/A85-1,"nm")</f>
        <v>nm</v>
      </c>
      <c r="C86" s="51">
        <f t="shared" si="119"/>
        <v>0.2891865079</v>
      </c>
      <c r="D86" s="51">
        <f t="shared" si="119"/>
        <v>0.1235090419</v>
      </c>
      <c r="E86" s="51">
        <f t="shared" si="119"/>
        <v>0.197260274</v>
      </c>
      <c r="F86" s="51">
        <f t="shared" si="119"/>
        <v>0.2191075515</v>
      </c>
      <c r="G86" s="51">
        <f t="shared" si="119"/>
        <v>0.08751759737</v>
      </c>
      <c r="H86" s="51">
        <f t="shared" si="119"/>
        <v>0.2401294498</v>
      </c>
      <c r="I86" s="51">
        <f t="shared" si="119"/>
        <v>-0.0577592206</v>
      </c>
      <c r="J86" s="44">
        <f t="shared" ref="J86:N86" si="120">+J87+J88</f>
        <v>0.05</v>
      </c>
      <c r="K86" s="44">
        <f t="shared" si="120"/>
        <v>0.05</v>
      </c>
      <c r="L86" s="44">
        <f t="shared" si="120"/>
        <v>0.05</v>
      </c>
      <c r="M86" s="44">
        <f t="shared" si="120"/>
        <v>0.05</v>
      </c>
      <c r="N86" s="44">
        <f t="shared" si="120"/>
        <v>0.05</v>
      </c>
    </row>
    <row r="87" ht="15.75" customHeight="1">
      <c r="A87" s="50" t="s">
        <v>153</v>
      </c>
      <c r="B87" s="51" t="str">
        <f>+Historicals!B192</f>
        <v/>
      </c>
      <c r="C87" s="51">
        <f>+Historicals!C192</f>
        <v>0.2891865079</v>
      </c>
      <c r="D87" s="51">
        <f>+Historicals!D192</f>
        <v>0.1235090419</v>
      </c>
      <c r="E87" s="51">
        <f>+Historicals!E192</f>
        <v>0.197260274</v>
      </c>
      <c r="F87" s="51">
        <f>+Historicals!F192</f>
        <v>0.2191075515</v>
      </c>
      <c r="G87" s="51">
        <f>+Historicals!G192</f>
        <v>0.08751759737</v>
      </c>
      <c r="H87" s="51">
        <f>+Historicals!H192</f>
        <v>0.2401294498</v>
      </c>
      <c r="I87" s="51">
        <f>+Historicals!I192</f>
        <v>-0.1</v>
      </c>
      <c r="J87" s="44">
        <v>0.05</v>
      </c>
      <c r="K87" s="44">
        <f t="shared" ref="K87:N87" si="121">+J87</f>
        <v>0.05</v>
      </c>
      <c r="L87" s="44">
        <f t="shared" si="121"/>
        <v>0.05</v>
      </c>
      <c r="M87" s="44">
        <f t="shared" si="121"/>
        <v>0.05</v>
      </c>
      <c r="N87" s="44">
        <f t="shared" si="121"/>
        <v>0.05</v>
      </c>
    </row>
    <row r="88" ht="15.75" customHeight="1">
      <c r="A88" s="50" t="s">
        <v>154</v>
      </c>
      <c r="B88" s="51" t="str">
        <f t="shared" ref="B88:I88" si="122">+IFERROR(B86-B87,"nm")</f>
        <v>nm</v>
      </c>
      <c r="C88" s="51">
        <f t="shared" si="122"/>
        <v>0</v>
      </c>
      <c r="D88" s="51">
        <f t="shared" si="122"/>
        <v>0</v>
      </c>
      <c r="E88" s="51">
        <f t="shared" si="122"/>
        <v>0</v>
      </c>
      <c r="F88" s="51">
        <f t="shared" si="122"/>
        <v>0</v>
      </c>
      <c r="G88" s="51">
        <f t="shared" si="122"/>
        <v>0</v>
      </c>
      <c r="H88" s="51">
        <f t="shared" si="122"/>
        <v>0</v>
      </c>
      <c r="I88" s="51">
        <f t="shared" si="122"/>
        <v>0.0422407794</v>
      </c>
      <c r="J88" s="44">
        <v>0.0</v>
      </c>
      <c r="K88" s="44">
        <f t="shared" ref="K88:N88" si="123">+J88</f>
        <v>0</v>
      </c>
      <c r="L88" s="44">
        <f t="shared" si="123"/>
        <v>0</v>
      </c>
      <c r="M88" s="44">
        <f t="shared" si="123"/>
        <v>0</v>
      </c>
      <c r="N88" s="44">
        <f t="shared" si="123"/>
        <v>0</v>
      </c>
    </row>
    <row r="89" ht="15.75" customHeight="1">
      <c r="A89" s="52" t="s">
        <v>155</v>
      </c>
      <c r="B89" s="29">
        <f>+Historicals!B121</f>
        <v>925</v>
      </c>
      <c r="C89" s="29">
        <f>+Historicals!C121</f>
        <v>1055</v>
      </c>
      <c r="D89" s="29">
        <f>+Historicals!D121</f>
        <v>1188</v>
      </c>
      <c r="E89" s="29">
        <f>+Historicals!E121</f>
        <v>1508</v>
      </c>
      <c r="F89" s="29">
        <f>+Historicals!F121</f>
        <v>1808</v>
      </c>
      <c r="G89" s="29">
        <f>+Historicals!G121</f>
        <v>1896</v>
      </c>
      <c r="H89" s="29">
        <f>+Historicals!H121</f>
        <v>2347</v>
      </c>
      <c r="I89" s="29">
        <f>+Historicals!I121</f>
        <v>1938</v>
      </c>
      <c r="J89" s="8">
        <f t="shared" ref="J89:N89" si="124">+I89*(1+J90)</f>
        <v>1744.2</v>
      </c>
      <c r="K89" s="8">
        <f t="shared" si="124"/>
        <v>1569.78</v>
      </c>
      <c r="L89" s="8">
        <f t="shared" si="124"/>
        <v>1412.802</v>
      </c>
      <c r="M89" s="8">
        <f t="shared" si="124"/>
        <v>1271.5218</v>
      </c>
      <c r="N89" s="8">
        <f t="shared" si="124"/>
        <v>1144.36962</v>
      </c>
    </row>
    <row r="90" ht="15.75" customHeight="1">
      <c r="A90" s="50" t="s">
        <v>151</v>
      </c>
      <c r="B90" s="51" t="str">
        <f t="shared" ref="B90:I90" si="125">+IFERROR(B89/A89-1,"nm")</f>
        <v>nm</v>
      </c>
      <c r="C90" s="51">
        <f t="shared" si="125"/>
        <v>0.1405405405</v>
      </c>
      <c r="D90" s="51">
        <f t="shared" si="125"/>
        <v>0.1260663507</v>
      </c>
      <c r="E90" s="51">
        <f t="shared" si="125"/>
        <v>0.2693602694</v>
      </c>
      <c r="F90" s="51">
        <f t="shared" si="125"/>
        <v>0.198938992</v>
      </c>
      <c r="G90" s="51">
        <f t="shared" si="125"/>
        <v>0.04867256637</v>
      </c>
      <c r="H90" s="51">
        <f t="shared" si="125"/>
        <v>0.2378691983</v>
      </c>
      <c r="I90" s="51">
        <f t="shared" si="125"/>
        <v>-0.1742650192</v>
      </c>
      <c r="J90" s="44">
        <f t="shared" ref="J90:N90" si="126">+J91+J92</f>
        <v>-0.1</v>
      </c>
      <c r="K90" s="44">
        <f t="shared" si="126"/>
        <v>-0.1</v>
      </c>
      <c r="L90" s="44">
        <f t="shared" si="126"/>
        <v>-0.1</v>
      </c>
      <c r="M90" s="44">
        <f t="shared" si="126"/>
        <v>-0.1</v>
      </c>
      <c r="N90" s="44">
        <f t="shared" si="126"/>
        <v>-0.1</v>
      </c>
    </row>
    <row r="91" ht="15.75" customHeight="1">
      <c r="A91" s="50" t="s">
        <v>153</v>
      </c>
      <c r="B91" s="51" t="str">
        <f>+Historicals!B193</f>
        <v/>
      </c>
      <c r="C91" s="51">
        <f>+Historicals!C193</f>
        <v>0.1405405405</v>
      </c>
      <c r="D91" s="51">
        <f>+Historicals!D193</f>
        <v>0.1260663507</v>
      </c>
      <c r="E91" s="51">
        <f>+Historicals!E193</f>
        <v>0.2693602694</v>
      </c>
      <c r="F91" s="51">
        <f>+Historicals!F193</f>
        <v>0.198938992</v>
      </c>
      <c r="G91" s="51">
        <f>+Historicals!G193</f>
        <v>0.04867256637</v>
      </c>
      <c r="H91" s="51">
        <f>+Historicals!H193</f>
        <v>0.2378691983</v>
      </c>
      <c r="I91" s="51">
        <f>+Historicals!I193</f>
        <v>-0.21</v>
      </c>
      <c r="J91" s="44">
        <v>-0.1</v>
      </c>
      <c r="K91" s="44">
        <f t="shared" ref="K91:N91" si="127">+J91</f>
        <v>-0.1</v>
      </c>
      <c r="L91" s="44">
        <f t="shared" si="127"/>
        <v>-0.1</v>
      </c>
      <c r="M91" s="44">
        <f t="shared" si="127"/>
        <v>-0.1</v>
      </c>
      <c r="N91" s="44">
        <f t="shared" si="127"/>
        <v>-0.1</v>
      </c>
    </row>
    <row r="92" ht="15.75" customHeight="1">
      <c r="A92" s="50" t="s">
        <v>154</v>
      </c>
      <c r="B92" s="51" t="str">
        <f t="shared" ref="B92:I92" si="128">+IFERROR(B90-B91,"nm")</f>
        <v>nm</v>
      </c>
      <c r="C92" s="51">
        <f t="shared" si="128"/>
        <v>0</v>
      </c>
      <c r="D92" s="51">
        <f t="shared" si="128"/>
        <v>0</v>
      </c>
      <c r="E92" s="51">
        <f t="shared" si="128"/>
        <v>0</v>
      </c>
      <c r="F92" s="51">
        <f t="shared" si="128"/>
        <v>0</v>
      </c>
      <c r="G92" s="51">
        <f t="shared" si="128"/>
        <v>0</v>
      </c>
      <c r="H92" s="51">
        <f t="shared" si="128"/>
        <v>0</v>
      </c>
      <c r="I92" s="51">
        <f t="shared" si="128"/>
        <v>0.03573498083</v>
      </c>
      <c r="J92" s="44">
        <v>0.0</v>
      </c>
      <c r="K92" s="44">
        <f t="shared" ref="K92:N92" si="129">+J92</f>
        <v>0</v>
      </c>
      <c r="L92" s="44">
        <f t="shared" si="129"/>
        <v>0</v>
      </c>
      <c r="M92" s="44">
        <f t="shared" si="129"/>
        <v>0</v>
      </c>
      <c r="N92" s="44">
        <f t="shared" si="129"/>
        <v>0</v>
      </c>
    </row>
    <row r="93" ht="15.75" customHeight="1">
      <c r="A93" s="52" t="s">
        <v>156</v>
      </c>
      <c r="B93" s="29">
        <f>+Historicals!B122</f>
        <v>126</v>
      </c>
      <c r="C93" s="29">
        <f>+Historicals!C122</f>
        <v>131</v>
      </c>
      <c r="D93" s="29">
        <f>+Historicals!D122</f>
        <v>129</v>
      </c>
      <c r="E93" s="29">
        <f>+Historicals!E122</f>
        <v>130</v>
      </c>
      <c r="F93" s="29">
        <f>+Historicals!F122</f>
        <v>138</v>
      </c>
      <c r="G93" s="29">
        <f>+Historicals!G122</f>
        <v>148</v>
      </c>
      <c r="H93" s="29">
        <f>+Historicals!H122</f>
        <v>195</v>
      </c>
      <c r="I93" s="29">
        <f>+Historicals!I122</f>
        <v>193</v>
      </c>
      <c r="J93" s="8">
        <f t="shared" ref="J93:N93" si="130">+I93*(1+J94)</f>
        <v>212.3</v>
      </c>
      <c r="K93" s="8">
        <f t="shared" si="130"/>
        <v>233.53</v>
      </c>
      <c r="L93" s="8">
        <f t="shared" si="130"/>
        <v>256.883</v>
      </c>
      <c r="M93" s="8">
        <f t="shared" si="130"/>
        <v>282.5713</v>
      </c>
      <c r="N93" s="8">
        <f t="shared" si="130"/>
        <v>310.82843</v>
      </c>
    </row>
    <row r="94" ht="15.75" customHeight="1">
      <c r="A94" s="50" t="s">
        <v>151</v>
      </c>
      <c r="B94" s="51" t="str">
        <f t="shared" ref="B94:I94" si="131">+IFERROR(B93/A93-1,"nm")</f>
        <v>nm</v>
      </c>
      <c r="C94" s="51">
        <f t="shared" si="131"/>
        <v>0.03968253968</v>
      </c>
      <c r="D94" s="51">
        <f t="shared" si="131"/>
        <v>-0.01526717557</v>
      </c>
      <c r="E94" s="51">
        <f t="shared" si="131"/>
        <v>0.007751937984</v>
      </c>
      <c r="F94" s="51">
        <f t="shared" si="131"/>
        <v>0.06153846154</v>
      </c>
      <c r="G94" s="51">
        <f t="shared" si="131"/>
        <v>0.07246376812</v>
      </c>
      <c r="H94" s="51">
        <f t="shared" si="131"/>
        <v>0.3175675676</v>
      </c>
      <c r="I94" s="51">
        <f t="shared" si="131"/>
        <v>-0.01025641026</v>
      </c>
      <c r="J94" s="44">
        <f t="shared" ref="J94:N94" si="132">+J95+J96</f>
        <v>0.1</v>
      </c>
      <c r="K94" s="44">
        <f t="shared" si="132"/>
        <v>0.1</v>
      </c>
      <c r="L94" s="44">
        <f t="shared" si="132"/>
        <v>0.1</v>
      </c>
      <c r="M94" s="44">
        <f t="shared" si="132"/>
        <v>0.1</v>
      </c>
      <c r="N94" s="44">
        <f t="shared" si="132"/>
        <v>0.1</v>
      </c>
    </row>
    <row r="95" ht="15.75" customHeight="1">
      <c r="A95" s="50" t="s">
        <v>153</v>
      </c>
      <c r="B95" s="51" t="str">
        <f>+Historicals!B194</f>
        <v/>
      </c>
      <c r="C95" s="51">
        <f>+Historicals!C194</f>
        <v>0.03968253968</v>
      </c>
      <c r="D95" s="51">
        <f>+Historicals!D194</f>
        <v>-0.01526717557</v>
      </c>
      <c r="E95" s="51">
        <f>+Historicals!E194</f>
        <v>0.007751937984</v>
      </c>
      <c r="F95" s="51">
        <f>+Historicals!F194</f>
        <v>0.06153846154</v>
      </c>
      <c r="G95" s="51">
        <f>+Historicals!G194</f>
        <v>0.07246376812</v>
      </c>
      <c r="H95" s="51">
        <f>+Historicals!H194</f>
        <v>0.3175675676</v>
      </c>
      <c r="I95" s="51">
        <f>+Historicals!I194</f>
        <v>-0.06</v>
      </c>
      <c r="J95" s="44">
        <v>0.1</v>
      </c>
      <c r="K95" s="44">
        <f t="shared" ref="K95:N95" si="133">+J95</f>
        <v>0.1</v>
      </c>
      <c r="L95" s="44">
        <f t="shared" si="133"/>
        <v>0.1</v>
      </c>
      <c r="M95" s="44">
        <f t="shared" si="133"/>
        <v>0.1</v>
      </c>
      <c r="N95" s="44">
        <f t="shared" si="133"/>
        <v>0.1</v>
      </c>
    </row>
    <row r="96" ht="15.75" customHeight="1">
      <c r="A96" s="50" t="s">
        <v>154</v>
      </c>
      <c r="B96" s="51" t="str">
        <f t="shared" ref="B96:I96" si="134">+IFERROR(B94-B95,"nm")</f>
        <v>nm</v>
      </c>
      <c r="C96" s="51">
        <f t="shared" si="134"/>
        <v>0</v>
      </c>
      <c r="D96" s="51">
        <f t="shared" si="134"/>
        <v>0</v>
      </c>
      <c r="E96" s="51">
        <f t="shared" si="134"/>
        <v>0</v>
      </c>
      <c r="F96" s="51">
        <f t="shared" si="134"/>
        <v>0</v>
      </c>
      <c r="G96" s="51">
        <f t="shared" si="134"/>
        <v>0</v>
      </c>
      <c r="H96" s="51">
        <f t="shared" si="134"/>
        <v>0</v>
      </c>
      <c r="I96" s="51">
        <f t="shared" si="134"/>
        <v>0.04974358974</v>
      </c>
      <c r="J96" s="44">
        <v>0.0</v>
      </c>
      <c r="K96" s="44">
        <f t="shared" ref="K96:N96" si="135">+J96</f>
        <v>0</v>
      </c>
      <c r="L96" s="44">
        <f t="shared" si="135"/>
        <v>0</v>
      </c>
      <c r="M96" s="44">
        <f t="shared" si="135"/>
        <v>0</v>
      </c>
      <c r="N96" s="44">
        <f t="shared" si="135"/>
        <v>0</v>
      </c>
    </row>
    <row r="97" ht="15.75" customHeight="1">
      <c r="A97" s="49" t="s">
        <v>157</v>
      </c>
      <c r="B97" s="49">
        <f t="shared" ref="B97:I97" si="136">+B104+B100</f>
        <v>1039</v>
      </c>
      <c r="C97" s="49">
        <f t="shared" si="136"/>
        <v>1420</v>
      </c>
      <c r="D97" s="49">
        <f t="shared" si="136"/>
        <v>1561</v>
      </c>
      <c r="E97" s="49">
        <f t="shared" si="136"/>
        <v>1863</v>
      </c>
      <c r="F97" s="49">
        <f t="shared" si="136"/>
        <v>2426</v>
      </c>
      <c r="G97" s="49">
        <f t="shared" si="136"/>
        <v>2534</v>
      </c>
      <c r="H97" s="49">
        <f t="shared" si="136"/>
        <v>3289</v>
      </c>
      <c r="I97" s="49">
        <f t="shared" si="136"/>
        <v>2406</v>
      </c>
      <c r="J97" s="8">
        <f t="shared" ref="J97:N97" si="137">+J83*J99</f>
        <v>2675.155</v>
      </c>
      <c r="K97" s="8">
        <f t="shared" si="137"/>
        <v>2721.0575</v>
      </c>
      <c r="L97" s="8">
        <f t="shared" si="137"/>
        <v>2778.7837</v>
      </c>
      <c r="M97" s="8">
        <f t="shared" si="137"/>
        <v>2848.046233</v>
      </c>
      <c r="N97" s="8">
        <f t="shared" si="137"/>
        <v>2928.638647</v>
      </c>
    </row>
    <row r="98" ht="15.75" customHeight="1">
      <c r="A98" s="50" t="s">
        <v>151</v>
      </c>
      <c r="B98" s="51" t="str">
        <f t="shared" ref="B98:N98" si="138">+IFERROR(B97/A97-1,"nm")</f>
        <v>nm</v>
      </c>
      <c r="C98" s="51">
        <f t="shared" si="138"/>
        <v>0.3666987488</v>
      </c>
      <c r="D98" s="51">
        <f t="shared" si="138"/>
        <v>0.09929577465</v>
      </c>
      <c r="E98" s="51">
        <f t="shared" si="138"/>
        <v>0.1934657271</v>
      </c>
      <c r="F98" s="51">
        <f t="shared" si="138"/>
        <v>0.3022007515</v>
      </c>
      <c r="G98" s="51">
        <f t="shared" si="138"/>
        <v>0.04451772465</v>
      </c>
      <c r="H98" s="51">
        <f t="shared" si="138"/>
        <v>0.2979479084</v>
      </c>
      <c r="I98" s="51">
        <f t="shared" si="138"/>
        <v>-0.2684706598</v>
      </c>
      <c r="J98" s="44">
        <f t="shared" si="138"/>
        <v>0.1118682461</v>
      </c>
      <c r="K98" s="44">
        <f t="shared" si="138"/>
        <v>0.01715881883</v>
      </c>
      <c r="L98" s="44">
        <f t="shared" si="138"/>
        <v>0.02121461968</v>
      </c>
      <c r="M98" s="44">
        <f t="shared" si="138"/>
        <v>0.02492548538</v>
      </c>
      <c r="N98" s="44">
        <f t="shared" si="138"/>
        <v>0.02829743912</v>
      </c>
    </row>
    <row r="99" ht="15.75" customHeight="1">
      <c r="A99" s="50" t="s">
        <v>158</v>
      </c>
      <c r="B99" s="51">
        <f t="shared" ref="B99:I99" si="139">+IFERROR(B97/B$83,"nm")</f>
        <v>0.3387675253</v>
      </c>
      <c r="C99" s="51">
        <f t="shared" si="139"/>
        <v>0.3751651255</v>
      </c>
      <c r="D99" s="51">
        <f t="shared" si="139"/>
        <v>0.3684210526</v>
      </c>
      <c r="E99" s="51">
        <f t="shared" si="139"/>
        <v>0.3628749513</v>
      </c>
      <c r="F99" s="51">
        <f t="shared" si="139"/>
        <v>0.3907860825</v>
      </c>
      <c r="G99" s="51">
        <f t="shared" si="139"/>
        <v>0.3793981135</v>
      </c>
      <c r="H99" s="51">
        <f t="shared" si="139"/>
        <v>0.3967430639</v>
      </c>
      <c r="I99" s="51">
        <f t="shared" si="139"/>
        <v>0.318802173</v>
      </c>
      <c r="J99" s="44">
        <v>0.35</v>
      </c>
      <c r="K99" s="44">
        <f t="shared" ref="K99:N99" si="140">+J99</f>
        <v>0.35</v>
      </c>
      <c r="L99" s="44">
        <f t="shared" si="140"/>
        <v>0.35</v>
      </c>
      <c r="M99" s="44">
        <f t="shared" si="140"/>
        <v>0.35</v>
      </c>
      <c r="N99" s="44">
        <f t="shared" si="140"/>
        <v>0.35</v>
      </c>
    </row>
    <row r="100" ht="15.75" customHeight="1">
      <c r="A100" s="49" t="s">
        <v>159</v>
      </c>
      <c r="B100" s="49">
        <f>+Historicals!B173</f>
        <v>46</v>
      </c>
      <c r="C100" s="49">
        <f>+Historicals!C173</f>
        <v>48</v>
      </c>
      <c r="D100" s="49">
        <f>+Historicals!D173</f>
        <v>54</v>
      </c>
      <c r="E100" s="49">
        <f>+Historicals!E173</f>
        <v>56</v>
      </c>
      <c r="F100" s="49">
        <f>+Historicals!F173</f>
        <v>50</v>
      </c>
      <c r="G100" s="49">
        <f>+Historicals!G173</f>
        <v>44</v>
      </c>
      <c r="H100" s="49">
        <f>+Historicals!H173</f>
        <v>46</v>
      </c>
      <c r="I100" s="49">
        <f>+Historicals!I173</f>
        <v>41</v>
      </c>
      <c r="J100" s="8">
        <f t="shared" ref="J100:N100" si="141">+J103*J110</f>
        <v>62.05451485</v>
      </c>
      <c r="K100" s="8">
        <f t="shared" si="141"/>
        <v>63.11929703</v>
      </c>
      <c r="L100" s="8">
        <f t="shared" si="141"/>
        <v>64.45834891</v>
      </c>
      <c r="M100" s="8">
        <f t="shared" si="141"/>
        <v>66.06500454</v>
      </c>
      <c r="N100" s="8">
        <f t="shared" si="141"/>
        <v>67.93447499</v>
      </c>
    </row>
    <row r="101" ht="15.75" customHeight="1">
      <c r="A101" s="50" t="s">
        <v>151</v>
      </c>
      <c r="B101" s="51" t="str">
        <f t="shared" ref="B101:N101" si="142">+IFERROR(B100/A100-1,"nm")</f>
        <v>nm</v>
      </c>
      <c r="C101" s="51">
        <f t="shared" si="142"/>
        <v>0.04347826087</v>
      </c>
      <c r="D101" s="51">
        <f t="shared" si="142"/>
        <v>0.125</v>
      </c>
      <c r="E101" s="51">
        <f t="shared" si="142"/>
        <v>0.03703703704</v>
      </c>
      <c r="F101" s="51">
        <f t="shared" si="142"/>
        <v>-0.1071428571</v>
      </c>
      <c r="G101" s="51">
        <f t="shared" si="142"/>
        <v>-0.12</v>
      </c>
      <c r="H101" s="51">
        <f t="shared" si="142"/>
        <v>0.04545454545</v>
      </c>
      <c r="I101" s="51">
        <f t="shared" si="142"/>
        <v>-0.1086956522</v>
      </c>
      <c r="J101" s="44">
        <f t="shared" si="142"/>
        <v>0.5135247525</v>
      </c>
      <c r="K101" s="44">
        <f t="shared" si="142"/>
        <v>0.01715881883</v>
      </c>
      <c r="L101" s="44">
        <f t="shared" si="142"/>
        <v>0.02121461968</v>
      </c>
      <c r="M101" s="44">
        <f t="shared" si="142"/>
        <v>0.02492548538</v>
      </c>
      <c r="N101" s="44">
        <f t="shared" si="142"/>
        <v>0.02829743912</v>
      </c>
    </row>
    <row r="102" ht="15.75" customHeight="1">
      <c r="A102" s="50" t="s">
        <v>160</v>
      </c>
      <c r="B102" s="51">
        <f t="shared" ref="B102:I102" si="143">+IFERROR(B100/B$83,"nm")</f>
        <v>0.01499836974</v>
      </c>
      <c r="C102" s="51">
        <f t="shared" si="143"/>
        <v>0.01268163804</v>
      </c>
      <c r="D102" s="51">
        <f t="shared" si="143"/>
        <v>0.01274486665</v>
      </c>
      <c r="E102" s="51">
        <f t="shared" si="143"/>
        <v>0.01090767433</v>
      </c>
      <c r="F102" s="51">
        <f t="shared" si="143"/>
        <v>0.008054123711</v>
      </c>
      <c r="G102" s="51">
        <f t="shared" si="143"/>
        <v>0.006587812547</v>
      </c>
      <c r="H102" s="51">
        <f t="shared" si="143"/>
        <v>0.005548854041</v>
      </c>
      <c r="I102" s="51">
        <f t="shared" si="143"/>
        <v>0.005432622234</v>
      </c>
      <c r="J102" s="44">
        <f t="shared" ref="J102:N102" si="144">+IFERROR(J100/J$21,"nm")</f>
        <v>0.003245352494</v>
      </c>
      <c r="K102" s="44">
        <f t="shared" si="144"/>
        <v>0.003165598528</v>
      </c>
      <c r="L102" s="44">
        <f t="shared" si="144"/>
        <v>0.003096968944</v>
      </c>
      <c r="M102" s="44">
        <f t="shared" si="144"/>
        <v>0.00303734986</v>
      </c>
      <c r="N102" s="44">
        <f t="shared" si="144"/>
        <v>0.002984812429</v>
      </c>
    </row>
    <row r="103" ht="15.75" customHeight="1">
      <c r="A103" s="50" t="s">
        <v>149</v>
      </c>
      <c r="B103" s="51">
        <f t="shared" ref="B103:I103" si="145">+IFERROR(B100/B110,"nm")</f>
        <v>0.1811023622</v>
      </c>
      <c r="C103" s="51">
        <f t="shared" si="145"/>
        <v>0.2051282051</v>
      </c>
      <c r="D103" s="51">
        <f t="shared" si="145"/>
        <v>0.24</v>
      </c>
      <c r="E103" s="51">
        <f t="shared" si="145"/>
        <v>0.21875</v>
      </c>
      <c r="F103" s="51">
        <f t="shared" si="145"/>
        <v>0.2109704641</v>
      </c>
      <c r="G103" s="51">
        <f t="shared" si="145"/>
        <v>0.2056074766</v>
      </c>
      <c r="H103" s="51">
        <f t="shared" si="145"/>
        <v>0.1597222222</v>
      </c>
      <c r="I103" s="51">
        <f t="shared" si="145"/>
        <v>0.1353135314</v>
      </c>
      <c r="J103" s="44">
        <f t="shared" ref="J103:N103" si="146">+I103</f>
        <v>0.1353135314</v>
      </c>
      <c r="K103" s="44">
        <f t="shared" si="146"/>
        <v>0.1353135314</v>
      </c>
      <c r="L103" s="44">
        <f t="shared" si="146"/>
        <v>0.1353135314</v>
      </c>
      <c r="M103" s="44">
        <f t="shared" si="146"/>
        <v>0.1353135314</v>
      </c>
      <c r="N103" s="44">
        <f t="shared" si="146"/>
        <v>0.1353135314</v>
      </c>
    </row>
    <row r="104" ht="15.75" customHeight="1">
      <c r="A104" s="49" t="s">
        <v>161</v>
      </c>
      <c r="B104" s="49">
        <f>+Historicals!B140</f>
        <v>993</v>
      </c>
      <c r="C104" s="49">
        <f>+Historicals!C140</f>
        <v>1372</v>
      </c>
      <c r="D104" s="49">
        <f>+Historicals!D140</f>
        <v>1507</v>
      </c>
      <c r="E104" s="49">
        <f>+Historicals!E140</f>
        <v>1807</v>
      </c>
      <c r="F104" s="49">
        <f>+Historicals!F140</f>
        <v>2376</v>
      </c>
      <c r="G104" s="49">
        <f>+Historicals!G140</f>
        <v>2490</v>
      </c>
      <c r="H104" s="49">
        <f>+Historicals!H140</f>
        <v>3243</v>
      </c>
      <c r="I104" s="49">
        <f>+Historicals!I140</f>
        <v>2365</v>
      </c>
      <c r="J104" s="8">
        <f t="shared" ref="J104:N104" si="147">+J97-J100</f>
        <v>2613.100485</v>
      </c>
      <c r="K104" s="8">
        <f t="shared" si="147"/>
        <v>2657.938203</v>
      </c>
      <c r="L104" s="8">
        <f t="shared" si="147"/>
        <v>2714.325351</v>
      </c>
      <c r="M104" s="8">
        <f t="shared" si="147"/>
        <v>2781.981228</v>
      </c>
      <c r="N104" s="8">
        <f t="shared" si="147"/>
        <v>2860.704172</v>
      </c>
    </row>
    <row r="105" ht="15.75" customHeight="1">
      <c r="A105" s="50" t="s">
        <v>151</v>
      </c>
      <c r="B105" s="51" t="str">
        <f t="shared" ref="B105:N105" si="148">+IFERROR(B104/A104-1,"nm")</f>
        <v>nm</v>
      </c>
      <c r="C105" s="51">
        <f t="shared" si="148"/>
        <v>0.3816717019</v>
      </c>
      <c r="D105" s="51">
        <f t="shared" si="148"/>
        <v>0.09839650146</v>
      </c>
      <c r="E105" s="51">
        <f t="shared" si="148"/>
        <v>0.199071002</v>
      </c>
      <c r="F105" s="51">
        <f t="shared" si="148"/>
        <v>0.3148865523</v>
      </c>
      <c r="G105" s="51">
        <f t="shared" si="148"/>
        <v>0.04797979798</v>
      </c>
      <c r="H105" s="51">
        <f t="shared" si="148"/>
        <v>0.3024096386</v>
      </c>
      <c r="I105" s="51">
        <f t="shared" si="148"/>
        <v>-0.2707369719</v>
      </c>
      <c r="J105" s="44">
        <f t="shared" si="148"/>
        <v>0.1049050677</v>
      </c>
      <c r="K105" s="44">
        <f t="shared" si="148"/>
        <v>0.01715881883</v>
      </c>
      <c r="L105" s="44">
        <f t="shared" si="148"/>
        <v>0.02121461968</v>
      </c>
      <c r="M105" s="44">
        <f t="shared" si="148"/>
        <v>0.02492548538</v>
      </c>
      <c r="N105" s="44">
        <f t="shared" si="148"/>
        <v>0.02829743912</v>
      </c>
    </row>
    <row r="106" ht="15.75" customHeight="1">
      <c r="A106" s="50" t="s">
        <v>158</v>
      </c>
      <c r="B106" s="51">
        <f t="shared" ref="B106:I106" si="149">+IFERROR(B104/B$83,"nm")</f>
        <v>0.3237691555</v>
      </c>
      <c r="C106" s="51">
        <f t="shared" si="149"/>
        <v>0.3624834875</v>
      </c>
      <c r="D106" s="51">
        <f t="shared" si="149"/>
        <v>0.355676186</v>
      </c>
      <c r="E106" s="51">
        <f t="shared" si="149"/>
        <v>0.351967277</v>
      </c>
      <c r="F106" s="51">
        <f t="shared" si="149"/>
        <v>0.3827319588</v>
      </c>
      <c r="G106" s="51">
        <f t="shared" si="149"/>
        <v>0.3728103009</v>
      </c>
      <c r="H106" s="51">
        <f t="shared" si="149"/>
        <v>0.3911942099</v>
      </c>
      <c r="I106" s="51">
        <f t="shared" si="149"/>
        <v>0.3133695508</v>
      </c>
      <c r="J106" s="44">
        <f t="shared" ref="J106:N106" si="150">+IFERROR(J104/J$21,"nm")</f>
        <v>0.136661002</v>
      </c>
      <c r="K106" s="44">
        <f t="shared" si="150"/>
        <v>0.1333025819</v>
      </c>
      <c r="L106" s="44">
        <f t="shared" si="150"/>
        <v>0.1304126069</v>
      </c>
      <c r="M106" s="44">
        <f t="shared" si="150"/>
        <v>0.1279020618</v>
      </c>
      <c r="N106" s="44">
        <f t="shared" si="150"/>
        <v>0.1256897234</v>
      </c>
    </row>
    <row r="107" ht="15.75" customHeight="1">
      <c r="A107" s="49" t="s">
        <v>162</v>
      </c>
      <c r="B107" s="49">
        <f>+Historicals!B162</f>
        <v>69</v>
      </c>
      <c r="C107" s="49">
        <f>+Historicals!C162</f>
        <v>44</v>
      </c>
      <c r="D107" s="49">
        <f>+Historicals!D162</f>
        <v>51</v>
      </c>
      <c r="E107" s="49">
        <f>+Historicals!E162</f>
        <v>76</v>
      </c>
      <c r="F107" s="49">
        <f>+Historicals!F162</f>
        <v>49</v>
      </c>
      <c r="G107" s="49">
        <f>+Historicals!G162</f>
        <v>28</v>
      </c>
      <c r="H107" s="49">
        <f>+Historicals!H162</f>
        <v>94</v>
      </c>
      <c r="I107" s="49">
        <f>+Historicals!I162</f>
        <v>78</v>
      </c>
      <c r="J107" s="8">
        <f t="shared" ref="J107:N107" si="151">+J83*J109</f>
        <v>78.99528289</v>
      </c>
      <c r="K107" s="8">
        <f t="shared" si="151"/>
        <v>80.35074864</v>
      </c>
      <c r="L107" s="8">
        <f t="shared" si="151"/>
        <v>82.05535922</v>
      </c>
      <c r="M107" s="8">
        <f t="shared" si="151"/>
        <v>84.10062887</v>
      </c>
      <c r="N107" s="8">
        <f t="shared" si="151"/>
        <v>86.4804613</v>
      </c>
    </row>
    <row r="108" ht="15.75" customHeight="1">
      <c r="A108" s="50" t="s">
        <v>151</v>
      </c>
      <c r="B108" s="51" t="str">
        <f t="shared" ref="B108:I108" si="152">+IFERROR(B107/A107-1,"nm")</f>
        <v>nm</v>
      </c>
      <c r="C108" s="51">
        <f t="shared" si="152"/>
        <v>-0.3623188406</v>
      </c>
      <c r="D108" s="51">
        <f t="shared" si="152"/>
        <v>0.1590909091</v>
      </c>
      <c r="E108" s="51">
        <f t="shared" si="152"/>
        <v>0.4901960784</v>
      </c>
      <c r="F108" s="51">
        <f t="shared" si="152"/>
        <v>-0.3552631579</v>
      </c>
      <c r="G108" s="51">
        <f t="shared" si="152"/>
        <v>-0.4285714286</v>
      </c>
      <c r="H108" s="51">
        <f t="shared" si="152"/>
        <v>2.357142857</v>
      </c>
      <c r="I108" s="51">
        <f t="shared" si="152"/>
        <v>-0.170212766</v>
      </c>
      <c r="J108" s="44">
        <v>0.0</v>
      </c>
      <c r="K108" s="44">
        <f t="shared" ref="K108:N108" si="153">+IFERROR(K107/J107-1,"nm")</f>
        <v>0.01715881883</v>
      </c>
      <c r="L108" s="44">
        <f t="shared" si="153"/>
        <v>0.02121461968</v>
      </c>
      <c r="M108" s="44">
        <f t="shared" si="153"/>
        <v>0.02492548538</v>
      </c>
      <c r="N108" s="44">
        <f t="shared" si="153"/>
        <v>0.02829743912</v>
      </c>
    </row>
    <row r="109" ht="15.75" customHeight="1">
      <c r="A109" s="50" t="s">
        <v>160</v>
      </c>
      <c r="B109" s="51">
        <f t="shared" ref="B109:I109" si="154">+IFERROR(B107/B$83,"nm")</f>
        <v>0.02249755461</v>
      </c>
      <c r="C109" s="51">
        <f t="shared" si="154"/>
        <v>0.01162483487</v>
      </c>
      <c r="D109" s="51">
        <f t="shared" si="154"/>
        <v>0.0120368185</v>
      </c>
      <c r="E109" s="51">
        <f t="shared" si="154"/>
        <v>0.0148032723</v>
      </c>
      <c r="F109" s="51">
        <f t="shared" si="154"/>
        <v>0.007893041237</v>
      </c>
      <c r="G109" s="51">
        <f t="shared" si="154"/>
        <v>0.004192244348</v>
      </c>
      <c r="H109" s="51">
        <f t="shared" si="154"/>
        <v>0.01133896261</v>
      </c>
      <c r="I109" s="51">
        <f t="shared" si="154"/>
        <v>0.01033523254</v>
      </c>
      <c r="J109" s="44">
        <f t="shared" ref="J109:N109" si="155">+I109</f>
        <v>0.01033523254</v>
      </c>
      <c r="K109" s="44">
        <f t="shared" si="155"/>
        <v>0.01033523254</v>
      </c>
      <c r="L109" s="44">
        <f t="shared" si="155"/>
        <v>0.01033523254</v>
      </c>
      <c r="M109" s="44">
        <f t="shared" si="155"/>
        <v>0.01033523254</v>
      </c>
      <c r="N109" s="44">
        <f t="shared" si="155"/>
        <v>0.01033523254</v>
      </c>
    </row>
    <row r="110" ht="15.75" customHeight="1">
      <c r="A110" s="12" t="s">
        <v>145</v>
      </c>
      <c r="B110" s="12">
        <f>+Historicals!B151</f>
        <v>254</v>
      </c>
      <c r="C110" s="12">
        <f>+Historicals!C151</f>
        <v>234</v>
      </c>
      <c r="D110" s="12">
        <f>+Historicals!D151</f>
        <v>225</v>
      </c>
      <c r="E110" s="12">
        <f>+Historicals!E151</f>
        <v>256</v>
      </c>
      <c r="F110" s="12">
        <f>+Historicals!F151</f>
        <v>237</v>
      </c>
      <c r="G110" s="12">
        <f>+Historicals!G151</f>
        <v>214</v>
      </c>
      <c r="H110" s="48">
        <f>+Historicals!H151</f>
        <v>288</v>
      </c>
      <c r="I110" s="48">
        <f>+Historicals!I151</f>
        <v>303</v>
      </c>
      <c r="J110" s="8">
        <f t="shared" ref="J110:N110" si="156">+J83*J112</f>
        <v>458.598</v>
      </c>
      <c r="K110" s="8">
        <f t="shared" si="156"/>
        <v>466.467</v>
      </c>
      <c r="L110" s="8">
        <f t="shared" si="156"/>
        <v>476.36292</v>
      </c>
      <c r="M110" s="8">
        <f t="shared" si="156"/>
        <v>488.236497</v>
      </c>
      <c r="N110" s="8">
        <f t="shared" si="156"/>
        <v>502.0523396</v>
      </c>
    </row>
    <row r="111" ht="15.75" customHeight="1">
      <c r="A111" s="42" t="s">
        <v>138</v>
      </c>
      <c r="B111" s="43" t="str">
        <f t="shared" ref="B111:I111" si="157">+IFERROR(B110/A110-1,"nm")</f>
        <v>nm</v>
      </c>
      <c r="C111" s="43">
        <f t="shared" si="157"/>
        <v>-0.07874015748</v>
      </c>
      <c r="D111" s="43">
        <f t="shared" si="157"/>
        <v>-0.03846153846</v>
      </c>
      <c r="E111" s="43">
        <f t="shared" si="157"/>
        <v>0.1377777778</v>
      </c>
      <c r="F111" s="43">
        <f t="shared" si="157"/>
        <v>-0.07421875</v>
      </c>
      <c r="G111" s="43">
        <f t="shared" si="157"/>
        <v>-0.0970464135</v>
      </c>
      <c r="H111" s="43">
        <f t="shared" si="157"/>
        <v>0.3457943925</v>
      </c>
      <c r="I111" s="43">
        <f t="shared" si="157"/>
        <v>0.05208333333</v>
      </c>
      <c r="J111" s="44">
        <f t="shared" ref="J111:N111" si="158">+J112+J113</f>
        <v>0.06</v>
      </c>
      <c r="K111" s="44">
        <f t="shared" si="158"/>
        <v>0.06</v>
      </c>
      <c r="L111" s="44">
        <f t="shared" si="158"/>
        <v>0.06</v>
      </c>
      <c r="M111" s="44">
        <f t="shared" si="158"/>
        <v>0.06</v>
      </c>
      <c r="N111" s="44">
        <f t="shared" si="158"/>
        <v>0.06</v>
      </c>
    </row>
    <row r="112" ht="15.75" customHeight="1">
      <c r="A112" s="42" t="s">
        <v>142</v>
      </c>
      <c r="B112" s="43">
        <f t="shared" ref="B112:I112" si="159">+IFERROR(B110/B$83,"nm")</f>
        <v>0.0828170851</v>
      </c>
      <c r="C112" s="43">
        <f t="shared" si="159"/>
        <v>0.06182298547</v>
      </c>
      <c r="D112" s="43">
        <f t="shared" si="159"/>
        <v>0.05310361105</v>
      </c>
      <c r="E112" s="43">
        <f t="shared" si="159"/>
        <v>0.04986365407</v>
      </c>
      <c r="F112" s="43">
        <f t="shared" si="159"/>
        <v>0.03817654639</v>
      </c>
      <c r="G112" s="43">
        <f t="shared" si="159"/>
        <v>0.03204072466</v>
      </c>
      <c r="H112" s="43">
        <f t="shared" si="159"/>
        <v>0.03474065139</v>
      </c>
      <c r="I112" s="43">
        <f t="shared" si="159"/>
        <v>0.04014840334</v>
      </c>
      <c r="J112" s="44">
        <v>0.06</v>
      </c>
      <c r="K112" s="44">
        <f t="shared" ref="K112:N112" si="160">+J112</f>
        <v>0.06</v>
      </c>
      <c r="L112" s="44">
        <f t="shared" si="160"/>
        <v>0.06</v>
      </c>
      <c r="M112" s="44">
        <f t="shared" si="160"/>
        <v>0.06</v>
      </c>
      <c r="N112" s="44">
        <f t="shared" si="160"/>
        <v>0.06</v>
      </c>
    </row>
    <row r="113" ht="15.75" customHeight="1">
      <c r="A113" s="7" t="str">
        <f>+Historicals!A123</f>
        <v>Asia Pacific &amp; Latin America</v>
      </c>
    </row>
    <row r="114" ht="15.75" customHeight="1">
      <c r="A114" s="49" t="s">
        <v>150</v>
      </c>
      <c r="B114" s="49">
        <f t="shared" ref="B114:I114" si="161">B116+B120+B124</f>
        <v>755</v>
      </c>
      <c r="C114" s="49">
        <f t="shared" si="161"/>
        <v>4317</v>
      </c>
      <c r="D114" s="49">
        <f t="shared" si="161"/>
        <v>4737</v>
      </c>
      <c r="E114" s="49">
        <f t="shared" si="161"/>
        <v>5166</v>
      </c>
      <c r="F114" s="49">
        <f t="shared" si="161"/>
        <v>5254</v>
      </c>
      <c r="G114" s="49">
        <f t="shared" si="161"/>
        <v>5028</v>
      </c>
      <c r="H114" s="49">
        <f t="shared" si="161"/>
        <v>5343</v>
      </c>
      <c r="I114" s="49">
        <f t="shared" si="161"/>
        <v>5955</v>
      </c>
      <c r="J114" s="8">
        <f t="shared" ref="J114:N114" si="162">+SUM(J116+J120+J124)</f>
        <v>7095.92</v>
      </c>
      <c r="K114" s="8">
        <f t="shared" si="162"/>
        <v>8462.9876</v>
      </c>
      <c r="L114" s="8">
        <f t="shared" si="162"/>
        <v>10102.93381</v>
      </c>
      <c r="M114" s="8">
        <f t="shared" si="162"/>
        <v>12072.65735</v>
      </c>
      <c r="N114" s="8">
        <f t="shared" si="162"/>
        <v>14441.57822</v>
      </c>
    </row>
    <row r="115" ht="15.75" customHeight="1">
      <c r="A115" s="50" t="s">
        <v>151</v>
      </c>
      <c r="B115" s="51" t="str">
        <f t="shared" ref="B115:N115" si="163">+IFERROR(B114/A114-1,"nm")</f>
        <v>nm</v>
      </c>
      <c r="C115" s="51">
        <f t="shared" si="163"/>
        <v>4.717880795</v>
      </c>
      <c r="D115" s="51">
        <f t="shared" si="163"/>
        <v>0.09728978457</v>
      </c>
      <c r="E115" s="51">
        <f t="shared" si="163"/>
        <v>0.09056364788</v>
      </c>
      <c r="F115" s="51">
        <f t="shared" si="163"/>
        <v>0.01703445606</v>
      </c>
      <c r="G115" s="51">
        <f t="shared" si="163"/>
        <v>-0.04301484583</v>
      </c>
      <c r="H115" s="51">
        <f t="shared" si="163"/>
        <v>0.06264916468</v>
      </c>
      <c r="I115" s="51">
        <f t="shared" si="163"/>
        <v>0.1145423919</v>
      </c>
      <c r="J115" s="44">
        <f t="shared" si="163"/>
        <v>0.1915902603</v>
      </c>
      <c r="K115" s="44">
        <f t="shared" si="163"/>
        <v>0.1926554414</v>
      </c>
      <c r="L115" s="44">
        <f t="shared" si="163"/>
        <v>0.1937786377</v>
      </c>
      <c r="M115" s="44">
        <f t="shared" si="163"/>
        <v>0.1949655</v>
      </c>
      <c r="N115" s="44">
        <f t="shared" si="163"/>
        <v>0.1962219914</v>
      </c>
    </row>
    <row r="116" ht="15.75" customHeight="1">
      <c r="A116" s="52" t="s">
        <v>152</v>
      </c>
      <c r="B116" s="29">
        <f>+Historicals!B124</f>
        <v>452</v>
      </c>
      <c r="C116" s="29">
        <f>+Historicals!C124</f>
        <v>2930</v>
      </c>
      <c r="D116" s="29">
        <f>+Historicals!D124</f>
        <v>3285</v>
      </c>
      <c r="E116" s="29">
        <f>+Historicals!E124</f>
        <v>3575</v>
      </c>
      <c r="F116" s="29">
        <f>+Historicals!F124</f>
        <v>3622</v>
      </c>
      <c r="G116" s="29">
        <f>+Historicals!G124</f>
        <v>3449</v>
      </c>
      <c r="H116" s="29">
        <f>+Historicals!H124</f>
        <v>3659</v>
      </c>
      <c r="I116" s="29">
        <f>+Historicals!I124</f>
        <v>4111</v>
      </c>
      <c r="J116" s="8">
        <f t="shared" ref="J116:N116" si="164">+I116*(1+J117)</f>
        <v>4933.2</v>
      </c>
      <c r="K116" s="8">
        <f t="shared" si="164"/>
        <v>5919.84</v>
      </c>
      <c r="L116" s="8">
        <f t="shared" si="164"/>
        <v>7103.808</v>
      </c>
      <c r="M116" s="8">
        <f t="shared" si="164"/>
        <v>8524.5696</v>
      </c>
      <c r="N116" s="8">
        <f t="shared" si="164"/>
        <v>10229.48352</v>
      </c>
    </row>
    <row r="117" ht="15.75" customHeight="1">
      <c r="A117" s="50" t="s">
        <v>151</v>
      </c>
      <c r="B117" s="51" t="str">
        <f t="shared" ref="B117:I117" si="165">+IFERROR(B116/A116-1,"nm")</f>
        <v>nm</v>
      </c>
      <c r="C117" s="51">
        <f t="shared" si="165"/>
        <v>5.482300885</v>
      </c>
      <c r="D117" s="51">
        <f t="shared" si="165"/>
        <v>0.1211604096</v>
      </c>
      <c r="E117" s="51">
        <f t="shared" si="165"/>
        <v>0.08828006088</v>
      </c>
      <c r="F117" s="51">
        <f t="shared" si="165"/>
        <v>0.01314685315</v>
      </c>
      <c r="G117" s="51">
        <f t="shared" si="165"/>
        <v>-0.04776366648</v>
      </c>
      <c r="H117" s="51">
        <f t="shared" si="165"/>
        <v>0.06088721369</v>
      </c>
      <c r="I117" s="51">
        <f t="shared" si="165"/>
        <v>0.1235310194</v>
      </c>
      <c r="J117" s="44">
        <f t="shared" ref="J117:N117" si="166">+J118+J119</f>
        <v>0.2</v>
      </c>
      <c r="K117" s="44">
        <f t="shared" si="166"/>
        <v>0.2</v>
      </c>
      <c r="L117" s="44">
        <f t="shared" si="166"/>
        <v>0.2</v>
      </c>
      <c r="M117" s="44">
        <f t="shared" si="166"/>
        <v>0.2</v>
      </c>
      <c r="N117" s="44">
        <f t="shared" si="166"/>
        <v>0.2</v>
      </c>
    </row>
    <row r="118" ht="15.75" customHeight="1">
      <c r="A118" s="50" t="s">
        <v>153</v>
      </c>
      <c r="B118" s="51" t="str">
        <f>+Historicals!B196</f>
        <v/>
      </c>
      <c r="C118" s="51">
        <f>+Historicals!C196</f>
        <v>5.482300885</v>
      </c>
      <c r="D118" s="51">
        <f>+Historicals!D196</f>
        <v>0.1211604096</v>
      </c>
      <c r="E118" s="51">
        <f>+Historicals!E196</f>
        <v>0.08828006088</v>
      </c>
      <c r="F118" s="51">
        <f>+Historicals!F196</f>
        <v>0.01314685315</v>
      </c>
      <c r="G118" s="51">
        <f>+Historicals!G196</f>
        <v>-0.04776366648</v>
      </c>
      <c r="H118" s="51">
        <f>+Historicals!H196</f>
        <v>0.06088721369</v>
      </c>
      <c r="I118" s="51">
        <f>+Historicals!I196</f>
        <v>0.17</v>
      </c>
      <c r="J118" s="44">
        <v>0.2</v>
      </c>
      <c r="K118" s="44">
        <f t="shared" ref="K118:N118" si="167">+J118</f>
        <v>0.2</v>
      </c>
      <c r="L118" s="44">
        <f t="shared" si="167"/>
        <v>0.2</v>
      </c>
      <c r="M118" s="44">
        <f t="shared" si="167"/>
        <v>0.2</v>
      </c>
      <c r="N118" s="44">
        <f t="shared" si="167"/>
        <v>0.2</v>
      </c>
    </row>
    <row r="119" ht="15.75" customHeight="1">
      <c r="A119" s="50" t="s">
        <v>154</v>
      </c>
      <c r="B119" s="51" t="str">
        <f t="shared" ref="B119:I119" si="168">+IFERROR(B117-B118,"nm")</f>
        <v>nm</v>
      </c>
      <c r="C119" s="51">
        <f t="shared" si="168"/>
        <v>0</v>
      </c>
      <c r="D119" s="51">
        <f t="shared" si="168"/>
        <v>0</v>
      </c>
      <c r="E119" s="51">
        <f t="shared" si="168"/>
        <v>0</v>
      </c>
      <c r="F119" s="51">
        <f t="shared" si="168"/>
        <v>0</v>
      </c>
      <c r="G119" s="51">
        <f t="shared" si="168"/>
        <v>0</v>
      </c>
      <c r="H119" s="51">
        <f t="shared" si="168"/>
        <v>0</v>
      </c>
      <c r="I119" s="51">
        <f t="shared" si="168"/>
        <v>-0.0464689806</v>
      </c>
      <c r="J119" s="44">
        <v>0.0</v>
      </c>
      <c r="K119" s="44">
        <f t="shared" ref="K119:N119" si="169">+J119</f>
        <v>0</v>
      </c>
      <c r="L119" s="44">
        <f t="shared" si="169"/>
        <v>0</v>
      </c>
      <c r="M119" s="44">
        <f t="shared" si="169"/>
        <v>0</v>
      </c>
      <c r="N119" s="44">
        <f t="shared" si="169"/>
        <v>0</v>
      </c>
    </row>
    <row r="120" ht="15.75" customHeight="1">
      <c r="A120" s="52" t="s">
        <v>155</v>
      </c>
      <c r="B120" s="29">
        <f>+Historicals!B125</f>
        <v>230</v>
      </c>
      <c r="C120" s="29">
        <f>+Historicals!C125</f>
        <v>1117</v>
      </c>
      <c r="D120" s="29">
        <f>+Historicals!D125</f>
        <v>1185</v>
      </c>
      <c r="E120" s="29">
        <f>+Historicals!E125</f>
        <v>1347</v>
      </c>
      <c r="F120" s="29">
        <f>+Historicals!F125</f>
        <v>1395</v>
      </c>
      <c r="G120" s="29">
        <f>+Historicals!G125</f>
        <v>1365</v>
      </c>
      <c r="H120" s="29">
        <f>+Historicals!H125</f>
        <v>1494</v>
      </c>
      <c r="I120" s="29">
        <f>+Historicals!I125</f>
        <v>1610</v>
      </c>
      <c r="J120" s="8">
        <f t="shared" ref="J120:N120" si="170">+I120*(1+J121)</f>
        <v>1851.5</v>
      </c>
      <c r="K120" s="8">
        <f t="shared" si="170"/>
        <v>2129.225</v>
      </c>
      <c r="L120" s="8">
        <f t="shared" si="170"/>
        <v>2448.60875</v>
      </c>
      <c r="M120" s="8">
        <f t="shared" si="170"/>
        <v>2815.900063</v>
      </c>
      <c r="N120" s="8">
        <f t="shared" si="170"/>
        <v>3238.285072</v>
      </c>
    </row>
    <row r="121" ht="15.75" customHeight="1">
      <c r="A121" s="50" t="s">
        <v>151</v>
      </c>
      <c r="B121" s="51" t="str">
        <f t="shared" ref="B121:I121" si="171">+IFERROR(B120/A120-1,"nm")</f>
        <v>nm</v>
      </c>
      <c r="C121" s="51">
        <f t="shared" si="171"/>
        <v>3.856521739</v>
      </c>
      <c r="D121" s="51">
        <f t="shared" si="171"/>
        <v>0.06087735004</v>
      </c>
      <c r="E121" s="51">
        <f t="shared" si="171"/>
        <v>0.1367088608</v>
      </c>
      <c r="F121" s="51">
        <f t="shared" si="171"/>
        <v>0.03563474388</v>
      </c>
      <c r="G121" s="51">
        <f t="shared" si="171"/>
        <v>-0.02150537634</v>
      </c>
      <c r="H121" s="51">
        <f t="shared" si="171"/>
        <v>0.09450549451</v>
      </c>
      <c r="I121" s="51">
        <f t="shared" si="171"/>
        <v>0.07764390897</v>
      </c>
      <c r="J121" s="44">
        <f t="shared" ref="J121:N121" si="172">+J122+J123</f>
        <v>0.15</v>
      </c>
      <c r="K121" s="44">
        <f t="shared" si="172"/>
        <v>0.15</v>
      </c>
      <c r="L121" s="44">
        <f t="shared" si="172"/>
        <v>0.15</v>
      </c>
      <c r="M121" s="44">
        <f t="shared" si="172"/>
        <v>0.15</v>
      </c>
      <c r="N121" s="44">
        <f t="shared" si="172"/>
        <v>0.15</v>
      </c>
    </row>
    <row r="122" ht="15.75" customHeight="1">
      <c r="A122" s="50" t="s">
        <v>153</v>
      </c>
      <c r="B122" s="51" t="str">
        <f>+Historicals!B197</f>
        <v/>
      </c>
      <c r="C122" s="51">
        <f>+Historicals!C197</f>
        <v>3.856521739</v>
      </c>
      <c r="D122" s="51">
        <f>+Historicals!D197</f>
        <v>0.06087735004</v>
      </c>
      <c r="E122" s="51">
        <f>+Historicals!E197</f>
        <v>0.1367088608</v>
      </c>
      <c r="F122" s="51">
        <f>+Historicals!F197</f>
        <v>0.03563474388</v>
      </c>
      <c r="G122" s="51">
        <f>+Historicals!G197</f>
        <v>-0.02150537634</v>
      </c>
      <c r="H122" s="51">
        <f>+Historicals!H197</f>
        <v>0.09450549451</v>
      </c>
      <c r="I122" s="51">
        <f>+Historicals!I197</f>
        <v>0.12</v>
      </c>
      <c r="J122" s="44">
        <v>0.15</v>
      </c>
      <c r="K122" s="44">
        <f t="shared" ref="K122:N122" si="173">+J122</f>
        <v>0.15</v>
      </c>
      <c r="L122" s="44">
        <f t="shared" si="173"/>
        <v>0.15</v>
      </c>
      <c r="M122" s="44">
        <f t="shared" si="173"/>
        <v>0.15</v>
      </c>
      <c r="N122" s="44">
        <f t="shared" si="173"/>
        <v>0.15</v>
      </c>
    </row>
    <row r="123" ht="15.75" customHeight="1">
      <c r="A123" s="50" t="s">
        <v>154</v>
      </c>
      <c r="B123" s="51" t="str">
        <f t="shared" ref="B123:I123" si="174">+IFERROR(B121-B122,"nm")</f>
        <v>nm</v>
      </c>
      <c r="C123" s="51">
        <f t="shared" si="174"/>
        <v>0</v>
      </c>
      <c r="D123" s="51">
        <f t="shared" si="174"/>
        <v>0</v>
      </c>
      <c r="E123" s="51">
        <f t="shared" si="174"/>
        <v>0</v>
      </c>
      <c r="F123" s="51">
        <f t="shared" si="174"/>
        <v>0</v>
      </c>
      <c r="G123" s="51">
        <f t="shared" si="174"/>
        <v>0</v>
      </c>
      <c r="H123" s="51">
        <f t="shared" si="174"/>
        <v>0</v>
      </c>
      <c r="I123" s="51">
        <f t="shared" si="174"/>
        <v>-0.04235609103</v>
      </c>
      <c r="J123" s="44">
        <v>0.0</v>
      </c>
      <c r="K123" s="44">
        <f t="shared" ref="K123:N123" si="175">+J123</f>
        <v>0</v>
      </c>
      <c r="L123" s="44">
        <f t="shared" si="175"/>
        <v>0</v>
      </c>
      <c r="M123" s="44">
        <f t="shared" si="175"/>
        <v>0</v>
      </c>
      <c r="N123" s="44">
        <f t="shared" si="175"/>
        <v>0</v>
      </c>
    </row>
    <row r="124" ht="15.75" customHeight="1">
      <c r="A124" s="52" t="s">
        <v>156</v>
      </c>
      <c r="B124" s="29">
        <f>+Historicals!B126</f>
        <v>73</v>
      </c>
      <c r="C124" s="29">
        <f>+Historicals!C126</f>
        <v>270</v>
      </c>
      <c r="D124" s="29">
        <f>+Historicals!D126</f>
        <v>267</v>
      </c>
      <c r="E124" s="29">
        <f>+Historicals!E126</f>
        <v>244</v>
      </c>
      <c r="F124" s="29">
        <f>+Historicals!F126</f>
        <v>237</v>
      </c>
      <c r="G124" s="29">
        <f>+Historicals!G126</f>
        <v>214</v>
      </c>
      <c r="H124" s="29">
        <f>+Historicals!H126</f>
        <v>190</v>
      </c>
      <c r="I124" s="29">
        <f>+Historicals!I126</f>
        <v>234</v>
      </c>
      <c r="J124" s="8">
        <f t="shared" ref="J124:N124" si="176">+I124*(1+J125)</f>
        <v>311.22</v>
      </c>
      <c r="K124" s="8">
        <f t="shared" si="176"/>
        <v>413.9226</v>
      </c>
      <c r="L124" s="8">
        <f t="shared" si="176"/>
        <v>550.517058</v>
      </c>
      <c r="M124" s="8">
        <f t="shared" si="176"/>
        <v>732.1876871</v>
      </c>
      <c r="N124" s="8">
        <f t="shared" si="176"/>
        <v>973.8096239</v>
      </c>
    </row>
    <row r="125" ht="15.75" customHeight="1">
      <c r="A125" s="50" t="s">
        <v>151</v>
      </c>
      <c r="B125" s="51" t="str">
        <f t="shared" ref="B125:I125" si="177">+IFERROR(B124/A124-1,"nm")</f>
        <v>nm</v>
      </c>
      <c r="C125" s="51">
        <f t="shared" si="177"/>
        <v>2.698630137</v>
      </c>
      <c r="D125" s="51">
        <f t="shared" si="177"/>
        <v>-0.01111111111</v>
      </c>
      <c r="E125" s="51">
        <f t="shared" si="177"/>
        <v>-0.0861423221</v>
      </c>
      <c r="F125" s="51">
        <f t="shared" si="177"/>
        <v>-0.02868852459</v>
      </c>
      <c r="G125" s="51">
        <f t="shared" si="177"/>
        <v>-0.0970464135</v>
      </c>
      <c r="H125" s="51">
        <f t="shared" si="177"/>
        <v>-0.1121495327</v>
      </c>
      <c r="I125" s="51">
        <f t="shared" si="177"/>
        <v>0.2315789474</v>
      </c>
      <c r="J125" s="44">
        <f t="shared" ref="J125:N125" si="178">+J126+J127</f>
        <v>0.33</v>
      </c>
      <c r="K125" s="44">
        <f t="shared" si="178"/>
        <v>0.33</v>
      </c>
      <c r="L125" s="44">
        <f t="shared" si="178"/>
        <v>0.33</v>
      </c>
      <c r="M125" s="44">
        <f t="shared" si="178"/>
        <v>0.33</v>
      </c>
      <c r="N125" s="44">
        <f t="shared" si="178"/>
        <v>0.33</v>
      </c>
    </row>
    <row r="126" ht="15.75" customHeight="1">
      <c r="A126" s="50" t="s">
        <v>153</v>
      </c>
      <c r="B126" s="51" t="str">
        <f>+Historicals!B198</f>
        <v/>
      </c>
      <c r="C126" s="51">
        <f>+Historicals!C198</f>
        <v>2.698630137</v>
      </c>
      <c r="D126" s="51">
        <f>+Historicals!D198</f>
        <v>-0.01111111111</v>
      </c>
      <c r="E126" s="51">
        <f>+Historicals!E198</f>
        <v>-0.0861423221</v>
      </c>
      <c r="F126" s="51">
        <f>+Historicals!F198</f>
        <v>-0.02868852459</v>
      </c>
      <c r="G126" s="51">
        <f>+Historicals!G198</f>
        <v>-0.0970464135</v>
      </c>
      <c r="H126" s="51">
        <f>+Historicals!H198</f>
        <v>-0.1121495327</v>
      </c>
      <c r="I126" s="51">
        <f>+Historicals!I198</f>
        <v>0.28</v>
      </c>
      <c r="J126" s="44">
        <v>0.33</v>
      </c>
      <c r="K126" s="44">
        <f t="shared" ref="K126:N126" si="179">+J126</f>
        <v>0.33</v>
      </c>
      <c r="L126" s="44">
        <f t="shared" si="179"/>
        <v>0.33</v>
      </c>
      <c r="M126" s="44">
        <f t="shared" si="179"/>
        <v>0.33</v>
      </c>
      <c r="N126" s="44">
        <f t="shared" si="179"/>
        <v>0.33</v>
      </c>
    </row>
    <row r="127" ht="15.75" customHeight="1">
      <c r="A127" s="50" t="s">
        <v>154</v>
      </c>
      <c r="B127" s="51" t="str">
        <f t="shared" ref="B127:I127" si="180">+IFERROR(B125-B126,"nm")</f>
        <v>nm</v>
      </c>
      <c r="C127" s="51">
        <f t="shared" si="180"/>
        <v>0</v>
      </c>
      <c r="D127" s="51">
        <f t="shared" si="180"/>
        <v>0</v>
      </c>
      <c r="E127" s="51">
        <f t="shared" si="180"/>
        <v>0</v>
      </c>
      <c r="F127" s="51">
        <f t="shared" si="180"/>
        <v>0</v>
      </c>
      <c r="G127" s="51">
        <f t="shared" si="180"/>
        <v>0</v>
      </c>
      <c r="H127" s="51">
        <f t="shared" si="180"/>
        <v>0</v>
      </c>
      <c r="I127" s="51">
        <f t="shared" si="180"/>
        <v>-0.04842105263</v>
      </c>
      <c r="J127" s="44">
        <v>0.0</v>
      </c>
      <c r="K127" s="44">
        <f t="shared" ref="K127:N127" si="181">+J127</f>
        <v>0</v>
      </c>
      <c r="L127" s="44">
        <f t="shared" si="181"/>
        <v>0</v>
      </c>
      <c r="M127" s="44">
        <f t="shared" si="181"/>
        <v>0</v>
      </c>
      <c r="N127" s="44">
        <f t="shared" si="181"/>
        <v>0</v>
      </c>
    </row>
    <row r="128" ht="15.75" customHeight="1">
      <c r="A128" s="49" t="s">
        <v>157</v>
      </c>
      <c r="B128" s="49">
        <f t="shared" ref="B128:I128" si="182">+B135+B131</f>
        <v>122</v>
      </c>
      <c r="C128" s="49">
        <f t="shared" si="182"/>
        <v>1044</v>
      </c>
      <c r="D128" s="49">
        <f t="shared" si="182"/>
        <v>1034</v>
      </c>
      <c r="E128" s="49">
        <f t="shared" si="182"/>
        <v>1244</v>
      </c>
      <c r="F128" s="49">
        <f t="shared" si="182"/>
        <v>1376</v>
      </c>
      <c r="G128" s="49">
        <f t="shared" si="182"/>
        <v>1230</v>
      </c>
      <c r="H128" s="49">
        <f t="shared" si="182"/>
        <v>1573</v>
      </c>
      <c r="I128" s="49">
        <f t="shared" si="182"/>
        <v>1938</v>
      </c>
      <c r="J128" s="8">
        <f t="shared" ref="J128:N128" si="183">+J114*J130</f>
        <v>567.6736</v>
      </c>
      <c r="K128" s="8">
        <f t="shared" si="183"/>
        <v>677.039008</v>
      </c>
      <c r="L128" s="8">
        <f t="shared" si="183"/>
        <v>808.2347046</v>
      </c>
      <c r="M128" s="8">
        <f t="shared" si="183"/>
        <v>965.812588</v>
      </c>
      <c r="N128" s="8">
        <f t="shared" si="183"/>
        <v>1155.326257</v>
      </c>
    </row>
    <row r="129" ht="15.75" customHeight="1">
      <c r="A129" s="50" t="s">
        <v>151</v>
      </c>
      <c r="B129" s="51" t="str">
        <f t="shared" ref="B129:N129" si="184">+IFERROR(B128/A128-1,"nm")</f>
        <v>nm</v>
      </c>
      <c r="C129" s="51">
        <f t="shared" si="184"/>
        <v>7.557377049</v>
      </c>
      <c r="D129" s="51">
        <f t="shared" si="184"/>
        <v>-0.009578544061</v>
      </c>
      <c r="E129" s="51">
        <f t="shared" si="184"/>
        <v>0.2030947776</v>
      </c>
      <c r="F129" s="51">
        <f t="shared" si="184"/>
        <v>0.1061093248</v>
      </c>
      <c r="G129" s="51">
        <f t="shared" si="184"/>
        <v>-0.1061046512</v>
      </c>
      <c r="H129" s="51">
        <f t="shared" si="184"/>
        <v>0.2788617886</v>
      </c>
      <c r="I129" s="51">
        <f t="shared" si="184"/>
        <v>0.2320406866</v>
      </c>
      <c r="J129" s="44">
        <f t="shared" si="184"/>
        <v>-0.7070827657</v>
      </c>
      <c r="K129" s="44">
        <f t="shared" si="184"/>
        <v>0.1926554414</v>
      </c>
      <c r="L129" s="44">
        <f t="shared" si="184"/>
        <v>0.1937786377</v>
      </c>
      <c r="M129" s="44">
        <f t="shared" si="184"/>
        <v>0.1949655</v>
      </c>
      <c r="N129" s="44">
        <f t="shared" si="184"/>
        <v>0.1962219914</v>
      </c>
    </row>
    <row r="130" ht="15.75" customHeight="1">
      <c r="A130" s="50" t="s">
        <v>158</v>
      </c>
      <c r="B130" s="51">
        <f t="shared" ref="B130:I130" si="185">+IFERROR(B128/B$114,"nm")</f>
        <v>0.161589404</v>
      </c>
      <c r="C130" s="51">
        <f t="shared" si="185"/>
        <v>0.2418346074</v>
      </c>
      <c r="D130" s="51">
        <f t="shared" si="185"/>
        <v>0.2182816128</v>
      </c>
      <c r="E130" s="51">
        <f t="shared" si="185"/>
        <v>0.2408052652</v>
      </c>
      <c r="F130" s="51">
        <f t="shared" si="185"/>
        <v>0.2618956985</v>
      </c>
      <c r="G130" s="51">
        <f t="shared" si="185"/>
        <v>0.2446300716</v>
      </c>
      <c r="H130" s="51">
        <f t="shared" si="185"/>
        <v>0.2944038929</v>
      </c>
      <c r="I130" s="51">
        <f t="shared" si="185"/>
        <v>0.325440806</v>
      </c>
      <c r="J130" s="44">
        <v>0.08</v>
      </c>
      <c r="K130" s="44">
        <f t="shared" ref="K130:N130" si="186">+J130</f>
        <v>0.08</v>
      </c>
      <c r="L130" s="44">
        <f t="shared" si="186"/>
        <v>0.08</v>
      </c>
      <c r="M130" s="44">
        <f t="shared" si="186"/>
        <v>0.08</v>
      </c>
      <c r="N130" s="44">
        <f t="shared" si="186"/>
        <v>0.08</v>
      </c>
    </row>
    <row r="131" ht="15.75" customHeight="1">
      <c r="A131" s="49" t="s">
        <v>159</v>
      </c>
      <c r="B131" s="49">
        <f>+Historicals!B174</f>
        <v>22</v>
      </c>
      <c r="C131" s="49">
        <f>+Historicals!C174</f>
        <v>42</v>
      </c>
      <c r="D131" s="49">
        <f>+Historicals!D174</f>
        <v>54</v>
      </c>
      <c r="E131" s="49">
        <f>+Historicals!E174</f>
        <v>55</v>
      </c>
      <c r="F131" s="49">
        <f>+Historicals!F174</f>
        <v>53</v>
      </c>
      <c r="G131" s="49">
        <f>+Historicals!G174</f>
        <v>46</v>
      </c>
      <c r="H131" s="49">
        <f>+Historicals!H174</f>
        <v>43</v>
      </c>
      <c r="I131" s="49">
        <f>+Historicals!I174</f>
        <v>42</v>
      </c>
      <c r="J131" s="8">
        <f t="shared" ref="J131:N131" si="187">+J134*J141</f>
        <v>372.5358</v>
      </c>
      <c r="K131" s="8">
        <f t="shared" si="187"/>
        <v>444.306849</v>
      </c>
      <c r="L131" s="8">
        <f t="shared" si="187"/>
        <v>530.4040249</v>
      </c>
      <c r="M131" s="8">
        <f t="shared" si="187"/>
        <v>633.8145109</v>
      </c>
      <c r="N131" s="8">
        <f t="shared" si="187"/>
        <v>758.1828563</v>
      </c>
    </row>
    <row r="132" ht="15.75" customHeight="1">
      <c r="A132" s="50" t="s">
        <v>151</v>
      </c>
      <c r="B132" s="51" t="str">
        <f t="shared" ref="B132:N132" si="188">+IFERROR(B131/A131-1,"nm")</f>
        <v>nm</v>
      </c>
      <c r="C132" s="51">
        <f t="shared" si="188"/>
        <v>0.9090909091</v>
      </c>
      <c r="D132" s="51">
        <f t="shared" si="188"/>
        <v>0.2857142857</v>
      </c>
      <c r="E132" s="51">
        <f t="shared" si="188"/>
        <v>0.01851851852</v>
      </c>
      <c r="F132" s="51">
        <f t="shared" si="188"/>
        <v>-0.03636363636</v>
      </c>
      <c r="G132" s="51">
        <f t="shared" si="188"/>
        <v>-0.1320754717</v>
      </c>
      <c r="H132" s="51">
        <f t="shared" si="188"/>
        <v>-0.0652173913</v>
      </c>
      <c r="I132" s="51">
        <f t="shared" si="188"/>
        <v>-0.02325581395</v>
      </c>
      <c r="J132" s="44">
        <f t="shared" si="188"/>
        <v>7.8699</v>
      </c>
      <c r="K132" s="44">
        <f t="shared" si="188"/>
        <v>0.1926554414</v>
      </c>
      <c r="L132" s="44">
        <f t="shared" si="188"/>
        <v>0.1937786377</v>
      </c>
      <c r="M132" s="44">
        <f t="shared" si="188"/>
        <v>0.1949655</v>
      </c>
      <c r="N132" s="44">
        <f t="shared" si="188"/>
        <v>0.1962219914</v>
      </c>
    </row>
    <row r="133" ht="15.75" customHeight="1">
      <c r="A133" s="50" t="s">
        <v>160</v>
      </c>
      <c r="B133" s="51">
        <f t="shared" ref="B133:I133" si="189">+IFERROR(B131/B$114,"nm")</f>
        <v>0.02913907285</v>
      </c>
      <c r="C133" s="51">
        <f t="shared" si="189"/>
        <v>0.009728978457</v>
      </c>
      <c r="D133" s="51">
        <f t="shared" si="189"/>
        <v>0.01139962001</v>
      </c>
      <c r="E133" s="51">
        <f t="shared" si="189"/>
        <v>0.01064653504</v>
      </c>
      <c r="F133" s="51">
        <f t="shared" si="189"/>
        <v>0.01008755234</v>
      </c>
      <c r="G133" s="51">
        <f t="shared" si="189"/>
        <v>0.009148766905</v>
      </c>
      <c r="H133" s="51">
        <f t="shared" si="189"/>
        <v>0.008047913157</v>
      </c>
      <c r="I133" s="51">
        <f t="shared" si="189"/>
        <v>0.007052896725</v>
      </c>
      <c r="J133" s="44">
        <f t="shared" ref="J133:N133" si="190">+IFERROR(J131/J$21,"nm")</f>
        <v>0.01948303021</v>
      </c>
      <c r="K133" s="44">
        <f t="shared" si="190"/>
        <v>0.02228315544</v>
      </c>
      <c r="L133" s="44">
        <f t="shared" si="190"/>
        <v>0.02548381739</v>
      </c>
      <c r="M133" s="44">
        <f t="shared" si="190"/>
        <v>0.02913973032</v>
      </c>
      <c r="N133" s="44">
        <f t="shared" si="190"/>
        <v>0.03331200562</v>
      </c>
    </row>
    <row r="134" ht="15.75" customHeight="1">
      <c r="A134" s="50" t="s">
        <v>149</v>
      </c>
      <c r="B134" s="51">
        <f t="shared" ref="B134:I134" si="191">+IFERROR(B131/B141,"nm")</f>
        <v>1.466666667</v>
      </c>
      <c r="C134" s="51">
        <f t="shared" si="191"/>
        <v>0.6774193548</v>
      </c>
      <c r="D134" s="51">
        <f t="shared" si="191"/>
        <v>0.9152542373</v>
      </c>
      <c r="E134" s="51">
        <f t="shared" si="191"/>
        <v>1.12244898</v>
      </c>
      <c r="F134" s="51">
        <f t="shared" si="191"/>
        <v>1.127659574</v>
      </c>
      <c r="G134" s="51">
        <f t="shared" si="191"/>
        <v>1.12195122</v>
      </c>
      <c r="H134" s="51">
        <f t="shared" si="191"/>
        <v>0.7962962963</v>
      </c>
      <c r="I134" s="51">
        <f t="shared" si="191"/>
        <v>0.75</v>
      </c>
      <c r="J134" s="44">
        <f t="shared" ref="J134:N134" si="192">+I134</f>
        <v>0.75</v>
      </c>
      <c r="K134" s="44">
        <f t="shared" si="192"/>
        <v>0.75</v>
      </c>
      <c r="L134" s="44">
        <f t="shared" si="192"/>
        <v>0.75</v>
      </c>
      <c r="M134" s="44">
        <f t="shared" si="192"/>
        <v>0.75</v>
      </c>
      <c r="N134" s="44">
        <f t="shared" si="192"/>
        <v>0.75</v>
      </c>
    </row>
    <row r="135" ht="15.75" customHeight="1">
      <c r="A135" s="49" t="s">
        <v>161</v>
      </c>
      <c r="B135" s="49">
        <f>+Historicals!B141</f>
        <v>100</v>
      </c>
      <c r="C135" s="49">
        <f>+Historicals!C141</f>
        <v>1002</v>
      </c>
      <c r="D135" s="49">
        <f>+Historicals!D141</f>
        <v>980</v>
      </c>
      <c r="E135" s="49">
        <f>+Historicals!E141</f>
        <v>1189</v>
      </c>
      <c r="F135" s="49">
        <f>+Historicals!F141</f>
        <v>1323</v>
      </c>
      <c r="G135" s="49">
        <f>+Historicals!G141</f>
        <v>1184</v>
      </c>
      <c r="H135" s="49">
        <f>+Historicals!H141</f>
        <v>1530</v>
      </c>
      <c r="I135" s="49">
        <f>+Historicals!I141</f>
        <v>1896</v>
      </c>
      <c r="J135" s="8">
        <f t="shared" ref="J135:N135" si="193">+J128-J131</f>
        <v>195.1378</v>
      </c>
      <c r="K135" s="8">
        <f t="shared" si="193"/>
        <v>232.732159</v>
      </c>
      <c r="L135" s="8">
        <f t="shared" si="193"/>
        <v>277.8306797</v>
      </c>
      <c r="M135" s="8">
        <f t="shared" si="193"/>
        <v>331.9980771</v>
      </c>
      <c r="N135" s="8">
        <f t="shared" si="193"/>
        <v>397.1434009</v>
      </c>
    </row>
    <row r="136" ht="15.75" customHeight="1">
      <c r="A136" s="50" t="s">
        <v>151</v>
      </c>
      <c r="B136" s="51" t="str">
        <f t="shared" ref="B136:N136" si="194">+IFERROR(B135/A135-1,"nm")</f>
        <v>nm</v>
      </c>
      <c r="C136" s="51">
        <f t="shared" si="194"/>
        <v>9.02</v>
      </c>
      <c r="D136" s="51">
        <f t="shared" si="194"/>
        <v>-0.02195608782</v>
      </c>
      <c r="E136" s="51">
        <f t="shared" si="194"/>
        <v>0.2132653061</v>
      </c>
      <c r="F136" s="51">
        <f t="shared" si="194"/>
        <v>0.1126997477</v>
      </c>
      <c r="G136" s="51">
        <f t="shared" si="194"/>
        <v>-0.1050642479</v>
      </c>
      <c r="H136" s="51">
        <f t="shared" si="194"/>
        <v>0.2922297297</v>
      </c>
      <c r="I136" s="51">
        <f t="shared" si="194"/>
        <v>0.2392156863</v>
      </c>
      <c r="J136" s="44">
        <f t="shared" si="194"/>
        <v>-0.8970792194</v>
      </c>
      <c r="K136" s="44">
        <f t="shared" si="194"/>
        <v>0.1926554414</v>
      </c>
      <c r="L136" s="44">
        <f t="shared" si="194"/>
        <v>0.1937786377</v>
      </c>
      <c r="M136" s="44">
        <f t="shared" si="194"/>
        <v>0.1949655</v>
      </c>
      <c r="N136" s="44">
        <f t="shared" si="194"/>
        <v>0.1962219914</v>
      </c>
    </row>
    <row r="137" ht="15.75" customHeight="1">
      <c r="A137" s="50" t="s">
        <v>158</v>
      </c>
      <c r="B137" s="51">
        <f t="shared" ref="B137:I137" si="195">+IFERROR(B135/B$114,"nm")</f>
        <v>0.1324503311</v>
      </c>
      <c r="C137" s="51">
        <f t="shared" si="195"/>
        <v>0.2321056289</v>
      </c>
      <c r="D137" s="51">
        <f t="shared" si="195"/>
        <v>0.2068819928</v>
      </c>
      <c r="E137" s="51">
        <f t="shared" si="195"/>
        <v>0.2301587302</v>
      </c>
      <c r="F137" s="51">
        <f t="shared" si="195"/>
        <v>0.2518081462</v>
      </c>
      <c r="G137" s="51">
        <f t="shared" si="195"/>
        <v>0.2354813047</v>
      </c>
      <c r="H137" s="51">
        <f t="shared" si="195"/>
        <v>0.2863559798</v>
      </c>
      <c r="I137" s="51">
        <f t="shared" si="195"/>
        <v>0.3183879093</v>
      </c>
      <c r="J137" s="44">
        <f t="shared" ref="J137:N137" si="196">+IFERROR(J135/J$21,"nm")</f>
        <v>0.01020539678</v>
      </c>
      <c r="K137" s="44">
        <f t="shared" si="196"/>
        <v>0.01167212904</v>
      </c>
      <c r="L137" s="44">
        <f t="shared" si="196"/>
        <v>0.01334866625</v>
      </c>
      <c r="M137" s="44">
        <f t="shared" si="196"/>
        <v>0.01526366826</v>
      </c>
      <c r="N137" s="44">
        <f t="shared" si="196"/>
        <v>0.0174491458</v>
      </c>
    </row>
    <row r="138" ht="15.75" customHeight="1">
      <c r="A138" s="49" t="s">
        <v>162</v>
      </c>
      <c r="B138" s="49">
        <f>+Historicals!B163</f>
        <v>15</v>
      </c>
      <c r="C138" s="49">
        <f>+Historicals!C163</f>
        <v>62</v>
      </c>
      <c r="D138" s="49">
        <f>+Historicals!D163</f>
        <v>59</v>
      </c>
      <c r="E138" s="49">
        <f>+Historicals!E163</f>
        <v>49</v>
      </c>
      <c r="F138" s="49">
        <f>+Historicals!F163</f>
        <v>47</v>
      </c>
      <c r="G138" s="49">
        <f>+Historicals!G163</f>
        <v>41</v>
      </c>
      <c r="H138" s="49">
        <f>+Historicals!H163</f>
        <v>54</v>
      </c>
      <c r="I138" s="49">
        <f>+Historicals!I163</f>
        <v>56</v>
      </c>
      <c r="J138" s="8">
        <f t="shared" ref="J138:N138" si="197">+J114*J140</f>
        <v>66.72905458</v>
      </c>
      <c r="K138" s="8">
        <f t="shared" si="197"/>
        <v>79.58477004</v>
      </c>
      <c r="L138" s="8">
        <f t="shared" si="197"/>
        <v>95.00659836</v>
      </c>
      <c r="M138" s="8">
        <f t="shared" si="197"/>
        <v>113.5296073</v>
      </c>
      <c r="N138" s="8">
        <f t="shared" si="197"/>
        <v>135.8066129</v>
      </c>
    </row>
    <row r="139" ht="15.75" customHeight="1">
      <c r="A139" s="50" t="s">
        <v>151</v>
      </c>
      <c r="B139" s="51" t="str">
        <f t="shared" ref="B139:I139" si="198">+IFERROR(B138/A138-1,"nm")</f>
        <v>nm</v>
      </c>
      <c r="C139" s="51">
        <f t="shared" si="198"/>
        <v>3.133333333</v>
      </c>
      <c r="D139" s="51">
        <f t="shared" si="198"/>
        <v>-0.04838709677</v>
      </c>
      <c r="E139" s="51">
        <f t="shared" si="198"/>
        <v>-0.1694915254</v>
      </c>
      <c r="F139" s="51">
        <f t="shared" si="198"/>
        <v>-0.04081632653</v>
      </c>
      <c r="G139" s="51">
        <f t="shared" si="198"/>
        <v>-0.1276595745</v>
      </c>
      <c r="H139" s="51">
        <f t="shared" si="198"/>
        <v>0.3170731707</v>
      </c>
      <c r="I139" s="51">
        <f t="shared" si="198"/>
        <v>0.03703703704</v>
      </c>
      <c r="J139" s="44">
        <v>0.0</v>
      </c>
      <c r="K139" s="44">
        <f t="shared" ref="K139:N139" si="199">+IFERROR(K138/J138-1,"nm")</f>
        <v>0.1926554414</v>
      </c>
      <c r="L139" s="44">
        <f t="shared" si="199"/>
        <v>0.1937786377</v>
      </c>
      <c r="M139" s="44">
        <f t="shared" si="199"/>
        <v>0.1949655</v>
      </c>
      <c r="N139" s="44">
        <f t="shared" si="199"/>
        <v>0.1962219914</v>
      </c>
    </row>
    <row r="140" ht="15.75" customHeight="1">
      <c r="A140" s="50" t="s">
        <v>160</v>
      </c>
      <c r="B140" s="51">
        <f t="shared" ref="B140:I140" si="200">+IFERROR(B138/B$114,"nm")</f>
        <v>0.01986754967</v>
      </c>
      <c r="C140" s="51">
        <f t="shared" si="200"/>
        <v>0.01436182534</v>
      </c>
      <c r="D140" s="51">
        <f t="shared" si="200"/>
        <v>0.01245514038</v>
      </c>
      <c r="E140" s="51">
        <f t="shared" si="200"/>
        <v>0.009485094851</v>
      </c>
      <c r="F140" s="51">
        <f t="shared" si="200"/>
        <v>0.008945565284</v>
      </c>
      <c r="G140" s="51">
        <f t="shared" si="200"/>
        <v>0.00815433572</v>
      </c>
      <c r="H140" s="51">
        <f t="shared" si="200"/>
        <v>0.01010668164</v>
      </c>
      <c r="I140" s="51">
        <f t="shared" si="200"/>
        <v>0.009403862301</v>
      </c>
      <c r="J140" s="44">
        <f t="shared" ref="J140:N140" si="201">+I140</f>
        <v>0.009403862301</v>
      </c>
      <c r="K140" s="44">
        <f t="shared" si="201"/>
        <v>0.009403862301</v>
      </c>
      <c r="L140" s="44">
        <f t="shared" si="201"/>
        <v>0.009403862301</v>
      </c>
      <c r="M140" s="44">
        <f t="shared" si="201"/>
        <v>0.009403862301</v>
      </c>
      <c r="N140" s="44">
        <f t="shared" si="201"/>
        <v>0.009403862301</v>
      </c>
    </row>
    <row r="141" ht="15.75" customHeight="1">
      <c r="A141" s="12" t="s">
        <v>145</v>
      </c>
      <c r="B141" s="12">
        <f>+Historicals!B163</f>
        <v>15</v>
      </c>
      <c r="C141" s="12">
        <f>+Historicals!C163</f>
        <v>62</v>
      </c>
      <c r="D141" s="12">
        <f>+Historicals!D163</f>
        <v>59</v>
      </c>
      <c r="E141" s="12">
        <f>+Historicals!E163</f>
        <v>49</v>
      </c>
      <c r="F141" s="12">
        <f>+Historicals!F163</f>
        <v>47</v>
      </c>
      <c r="G141" s="12">
        <f>+Historicals!G163</f>
        <v>41</v>
      </c>
      <c r="H141" s="53">
        <f>+Historicals!H163</f>
        <v>54</v>
      </c>
      <c r="I141" s="53">
        <f>+Historicals!I163</f>
        <v>56</v>
      </c>
      <c r="J141" s="8">
        <f t="shared" ref="J141:N141" si="202">+J114*J143</f>
        <v>496.7144</v>
      </c>
      <c r="K141" s="8">
        <f t="shared" si="202"/>
        <v>592.409132</v>
      </c>
      <c r="L141" s="8">
        <f t="shared" si="202"/>
        <v>707.2053666</v>
      </c>
      <c r="M141" s="8">
        <f t="shared" si="202"/>
        <v>845.0860145</v>
      </c>
      <c r="N141" s="8">
        <f t="shared" si="202"/>
        <v>1010.910475</v>
      </c>
    </row>
    <row r="142" ht="15.75" customHeight="1">
      <c r="A142" s="42" t="s">
        <v>138</v>
      </c>
      <c r="B142" s="43" t="str">
        <f t="shared" ref="B142:I142" si="203">+IFERROR(B141/A141-1,"nm")</f>
        <v>nm</v>
      </c>
      <c r="C142" s="43">
        <f t="shared" si="203"/>
        <v>3.133333333</v>
      </c>
      <c r="D142" s="43">
        <f t="shared" si="203"/>
        <v>-0.04838709677</v>
      </c>
      <c r="E142" s="43">
        <f t="shared" si="203"/>
        <v>-0.1694915254</v>
      </c>
      <c r="F142" s="43">
        <f t="shared" si="203"/>
        <v>-0.04081632653</v>
      </c>
      <c r="G142" s="43">
        <f t="shared" si="203"/>
        <v>-0.1276595745</v>
      </c>
      <c r="H142" s="51">
        <f t="shared" si="203"/>
        <v>0.3170731707</v>
      </c>
      <c r="I142" s="51">
        <f t="shared" si="203"/>
        <v>0.03703703704</v>
      </c>
      <c r="J142" s="44">
        <f t="shared" ref="J142:N142" si="204">+J143+J144</f>
        <v>0.07</v>
      </c>
      <c r="K142" s="44">
        <f t="shared" si="204"/>
        <v>0.07</v>
      </c>
      <c r="L142" s="44">
        <f t="shared" si="204"/>
        <v>0.07</v>
      </c>
      <c r="M142" s="44">
        <f t="shared" si="204"/>
        <v>0.07</v>
      </c>
      <c r="N142" s="44">
        <f t="shared" si="204"/>
        <v>0.07</v>
      </c>
    </row>
    <row r="143" ht="15.75" customHeight="1">
      <c r="A143" s="42" t="s">
        <v>142</v>
      </c>
      <c r="B143" s="43">
        <f t="shared" ref="B143:I143" si="205">+IFERROR(B141/B$114,"nm")</f>
        <v>0.01986754967</v>
      </c>
      <c r="C143" s="43">
        <f t="shared" si="205"/>
        <v>0.01436182534</v>
      </c>
      <c r="D143" s="43">
        <f t="shared" si="205"/>
        <v>0.01245514038</v>
      </c>
      <c r="E143" s="43">
        <f t="shared" si="205"/>
        <v>0.009485094851</v>
      </c>
      <c r="F143" s="43">
        <f t="shared" si="205"/>
        <v>0.008945565284</v>
      </c>
      <c r="G143" s="43">
        <f t="shared" si="205"/>
        <v>0.00815433572</v>
      </c>
      <c r="H143" s="51">
        <f t="shared" si="205"/>
        <v>0.01010668164</v>
      </c>
      <c r="I143" s="51">
        <f t="shared" si="205"/>
        <v>0.009403862301</v>
      </c>
      <c r="J143" s="44">
        <v>0.07</v>
      </c>
      <c r="K143" s="44">
        <f t="shared" ref="K143:N143" si="206">+J143</f>
        <v>0.07</v>
      </c>
      <c r="L143" s="44">
        <f t="shared" si="206"/>
        <v>0.07</v>
      </c>
      <c r="M143" s="44">
        <f t="shared" si="206"/>
        <v>0.07</v>
      </c>
      <c r="N143" s="44">
        <f t="shared" si="206"/>
        <v>0.07</v>
      </c>
    </row>
    <row r="144" ht="15.75" customHeight="1">
      <c r="A144" s="7" t="str">
        <f>+Historicals!A127</f>
        <v>Global Brand Divisions</v>
      </c>
    </row>
    <row r="145" ht="15.75" customHeight="1">
      <c r="A145" s="12" t="s">
        <v>146</v>
      </c>
      <c r="B145" s="12">
        <f>+Historicals!B127</f>
        <v>115</v>
      </c>
      <c r="C145" s="12">
        <f>+Historicals!C127</f>
        <v>73</v>
      </c>
      <c r="D145" s="12">
        <f>+Historicals!D127</f>
        <v>73</v>
      </c>
      <c r="E145" s="12">
        <f>+Historicals!E127</f>
        <v>88</v>
      </c>
      <c r="F145" s="12">
        <f>+Historicals!F127</f>
        <v>42</v>
      </c>
      <c r="G145" s="12">
        <f>+Historicals!G127</f>
        <v>30</v>
      </c>
      <c r="H145" s="12">
        <f>+Historicals!H127</f>
        <v>25</v>
      </c>
      <c r="I145" s="12">
        <f>+Historicals!I127</f>
        <v>102</v>
      </c>
      <c r="J145" s="8">
        <f t="shared" ref="J145:N145" si="207">I145*J146</f>
        <v>132.6</v>
      </c>
      <c r="K145" s="8">
        <f t="shared" si="207"/>
        <v>145.86</v>
      </c>
      <c r="L145" s="8">
        <f t="shared" si="207"/>
        <v>160.446</v>
      </c>
      <c r="M145" s="8">
        <f t="shared" si="207"/>
        <v>176.4906</v>
      </c>
      <c r="N145" s="8">
        <f t="shared" si="207"/>
        <v>194.13966</v>
      </c>
    </row>
    <row r="146" ht="15.75" customHeight="1">
      <c r="A146" s="42" t="s">
        <v>138</v>
      </c>
      <c r="B146" s="43" t="str">
        <f t="shared" ref="B146:I146" si="208">+IFERROR(B145/A145-1,"nm")</f>
        <v>nm</v>
      </c>
      <c r="C146" s="43">
        <f t="shared" si="208"/>
        <v>-0.3652173913</v>
      </c>
      <c r="D146" s="43">
        <f t="shared" si="208"/>
        <v>0</v>
      </c>
      <c r="E146" s="43">
        <f t="shared" si="208"/>
        <v>0.2054794521</v>
      </c>
      <c r="F146" s="43">
        <f t="shared" si="208"/>
        <v>-0.5227272727</v>
      </c>
      <c r="G146" s="43">
        <f t="shared" si="208"/>
        <v>-0.2857142857</v>
      </c>
      <c r="H146" s="43">
        <f t="shared" si="208"/>
        <v>-0.1666666667</v>
      </c>
      <c r="I146" s="43">
        <f t="shared" si="208"/>
        <v>3.08</v>
      </c>
      <c r="J146" s="44">
        <v>1.3</v>
      </c>
      <c r="K146" s="44">
        <v>1.1</v>
      </c>
      <c r="L146" s="44">
        <v>1.1</v>
      </c>
      <c r="M146" s="44">
        <v>1.1</v>
      </c>
      <c r="N146" s="44">
        <v>1.1</v>
      </c>
    </row>
    <row r="147" ht="15.75" customHeight="1">
      <c r="A147" s="12" t="s">
        <v>139</v>
      </c>
      <c r="B147" s="12">
        <f t="shared" ref="B147:I147" si="209">+B154+B150</f>
        <v>-2057</v>
      </c>
      <c r="C147" s="12">
        <f t="shared" si="209"/>
        <v>-2366</v>
      </c>
      <c r="D147" s="12">
        <f t="shared" si="209"/>
        <v>-2444</v>
      </c>
      <c r="E147" s="12">
        <f t="shared" si="209"/>
        <v>-2441</v>
      </c>
      <c r="F147" s="12">
        <f t="shared" si="209"/>
        <v>-3067</v>
      </c>
      <c r="G147" s="12">
        <f t="shared" si="209"/>
        <v>-3254</v>
      </c>
      <c r="H147" s="12">
        <f t="shared" si="209"/>
        <v>-3434</v>
      </c>
      <c r="I147" s="12">
        <f t="shared" si="209"/>
        <v>-4042</v>
      </c>
      <c r="J147" s="8">
        <f t="shared" ref="J147:N147" si="210">J145*J149</f>
        <v>-5254.6</v>
      </c>
      <c r="K147" s="8">
        <f t="shared" si="210"/>
        <v>-5780.06</v>
      </c>
      <c r="L147" s="8">
        <f t="shared" si="210"/>
        <v>-6358.066</v>
      </c>
      <c r="M147" s="8">
        <f t="shared" si="210"/>
        <v>-6993.8726</v>
      </c>
      <c r="N147" s="8">
        <f t="shared" si="210"/>
        <v>-7693.25986</v>
      </c>
    </row>
    <row r="148" ht="15.75" customHeight="1">
      <c r="A148" s="42" t="s">
        <v>138</v>
      </c>
      <c r="B148" s="43" t="str">
        <f t="shared" ref="B148:I148" si="211">+IFERROR(B147/A147-1,"nm")</f>
        <v>nm</v>
      </c>
      <c r="C148" s="43">
        <f t="shared" si="211"/>
        <v>0.1502187652</v>
      </c>
      <c r="D148" s="43">
        <f t="shared" si="211"/>
        <v>0.03296703297</v>
      </c>
      <c r="E148" s="43">
        <f t="shared" si="211"/>
        <v>-0.001227495908</v>
      </c>
      <c r="F148" s="43">
        <f t="shared" si="211"/>
        <v>0.2564522737</v>
      </c>
      <c r="G148" s="43">
        <f t="shared" si="211"/>
        <v>0.06097163352</v>
      </c>
      <c r="H148" s="43">
        <f t="shared" si="211"/>
        <v>0.0553165335</v>
      </c>
      <c r="I148" s="43">
        <f t="shared" si="211"/>
        <v>0.1770529994</v>
      </c>
      <c r="J148" s="44">
        <v>0.15</v>
      </c>
      <c r="K148" s="44">
        <v>0.15</v>
      </c>
      <c r="L148" s="44">
        <v>0.15</v>
      </c>
      <c r="M148" s="44">
        <v>0.15</v>
      </c>
      <c r="N148" s="44">
        <v>0.15</v>
      </c>
    </row>
    <row r="149" ht="15.75" customHeight="1">
      <c r="A149" s="42" t="s">
        <v>140</v>
      </c>
      <c r="B149" s="43">
        <f t="shared" ref="B149:I149" si="212">+IFERROR(B147/B$145,"nm")</f>
        <v>-17.88695652</v>
      </c>
      <c r="C149" s="43">
        <f t="shared" si="212"/>
        <v>-32.4109589</v>
      </c>
      <c r="D149" s="43">
        <f t="shared" si="212"/>
        <v>-33.47945205</v>
      </c>
      <c r="E149" s="43">
        <f t="shared" si="212"/>
        <v>-27.73863636</v>
      </c>
      <c r="F149" s="43">
        <f t="shared" si="212"/>
        <v>-73.02380952</v>
      </c>
      <c r="G149" s="43">
        <f t="shared" si="212"/>
        <v>-108.4666667</v>
      </c>
      <c r="H149" s="43">
        <f t="shared" si="212"/>
        <v>-137.36</v>
      </c>
      <c r="I149" s="43">
        <f t="shared" si="212"/>
        <v>-39.62745098</v>
      </c>
      <c r="J149" s="44">
        <f t="shared" ref="J149:N149" si="213">I149</f>
        <v>-39.62745098</v>
      </c>
      <c r="K149" s="44">
        <f t="shared" si="213"/>
        <v>-39.62745098</v>
      </c>
      <c r="L149" s="44">
        <f t="shared" si="213"/>
        <v>-39.62745098</v>
      </c>
      <c r="M149" s="44">
        <f t="shared" si="213"/>
        <v>-39.62745098</v>
      </c>
      <c r="N149" s="44">
        <f t="shared" si="213"/>
        <v>-39.62745098</v>
      </c>
    </row>
    <row r="150" ht="15.75" customHeight="1">
      <c r="A150" s="12" t="s">
        <v>141</v>
      </c>
      <c r="B150" s="12">
        <f>+Historicals!B175</f>
        <v>210</v>
      </c>
      <c r="C150" s="12">
        <f>+Historicals!C175</f>
        <v>230</v>
      </c>
      <c r="D150" s="12">
        <f>+Historicals!D175</f>
        <v>233</v>
      </c>
      <c r="E150" s="12">
        <f>+Historicals!E175</f>
        <v>217</v>
      </c>
      <c r="F150" s="12">
        <f>+Historicals!F175</f>
        <v>195</v>
      </c>
      <c r="G150" s="12">
        <f>+Historicals!G175</f>
        <v>214</v>
      </c>
      <c r="H150" s="12">
        <f>+Historicals!H175</f>
        <v>222</v>
      </c>
      <c r="I150" s="12">
        <f>+Historicals!I175</f>
        <v>220</v>
      </c>
      <c r="J150" s="8">
        <f t="shared" ref="J150:N150" si="214">+J153*J160</f>
        <v>286</v>
      </c>
      <c r="K150" s="8">
        <f t="shared" si="214"/>
        <v>314.6</v>
      </c>
      <c r="L150" s="8">
        <f t="shared" si="214"/>
        <v>346.06</v>
      </c>
      <c r="M150" s="8">
        <f t="shared" si="214"/>
        <v>380.666</v>
      </c>
      <c r="N150" s="8">
        <f t="shared" si="214"/>
        <v>418.7326</v>
      </c>
    </row>
    <row r="151" ht="15.75" customHeight="1">
      <c r="A151" s="42" t="s">
        <v>138</v>
      </c>
      <c r="B151" s="43" t="str">
        <f t="shared" ref="B151:N151" si="215">+IFERROR(B150/A150-1,"nm")</f>
        <v>nm</v>
      </c>
      <c r="C151" s="43">
        <f t="shared" si="215"/>
        <v>0.09523809524</v>
      </c>
      <c r="D151" s="43">
        <f t="shared" si="215"/>
        <v>0.01304347826</v>
      </c>
      <c r="E151" s="43">
        <f t="shared" si="215"/>
        <v>-0.0686695279</v>
      </c>
      <c r="F151" s="43">
        <f t="shared" si="215"/>
        <v>-0.1013824885</v>
      </c>
      <c r="G151" s="43">
        <f t="shared" si="215"/>
        <v>0.09743589744</v>
      </c>
      <c r="H151" s="43">
        <f t="shared" si="215"/>
        <v>0.03738317757</v>
      </c>
      <c r="I151" s="43">
        <f t="shared" si="215"/>
        <v>-0.009009009009</v>
      </c>
      <c r="J151" s="44">
        <f t="shared" si="215"/>
        <v>0.3</v>
      </c>
      <c r="K151" s="44">
        <f t="shared" si="215"/>
        <v>0.1</v>
      </c>
      <c r="L151" s="44">
        <f t="shared" si="215"/>
        <v>0.1</v>
      </c>
      <c r="M151" s="44">
        <f t="shared" si="215"/>
        <v>0.1</v>
      </c>
      <c r="N151" s="44">
        <f t="shared" si="215"/>
        <v>0.1</v>
      </c>
    </row>
    <row r="152" ht="15.75" customHeight="1">
      <c r="A152" s="42" t="s">
        <v>142</v>
      </c>
      <c r="B152" s="43">
        <f t="shared" ref="B152:I152" si="216">+IFERROR(B150/B$145,"nm")</f>
        <v>1.826086957</v>
      </c>
      <c r="C152" s="43">
        <f t="shared" si="216"/>
        <v>3.150684932</v>
      </c>
      <c r="D152" s="43">
        <f t="shared" si="216"/>
        <v>3.191780822</v>
      </c>
      <c r="E152" s="43">
        <f t="shared" si="216"/>
        <v>2.465909091</v>
      </c>
      <c r="F152" s="43">
        <f t="shared" si="216"/>
        <v>4.642857143</v>
      </c>
      <c r="G152" s="43">
        <f t="shared" si="216"/>
        <v>7.133333333</v>
      </c>
      <c r="H152" s="43">
        <f t="shared" si="216"/>
        <v>8.88</v>
      </c>
      <c r="I152" s="43">
        <f t="shared" si="216"/>
        <v>2.156862745</v>
      </c>
      <c r="J152" s="44">
        <f t="shared" ref="J152:N152" si="217">+IFERROR(J150/J$21,"nm")</f>
        <v>0.01495734542</v>
      </c>
      <c r="K152" s="44">
        <f t="shared" si="217"/>
        <v>0.01577801629</v>
      </c>
      <c r="L152" s="44">
        <f t="shared" si="217"/>
        <v>0.01662681547</v>
      </c>
      <c r="M152" s="44">
        <f t="shared" si="217"/>
        <v>0.01750118432</v>
      </c>
      <c r="N152" s="44">
        <f t="shared" si="217"/>
        <v>0.01839770262</v>
      </c>
    </row>
    <row r="153" ht="15.75" customHeight="1">
      <c r="A153" s="42" t="s">
        <v>149</v>
      </c>
      <c r="B153" s="43">
        <f t="shared" ref="B153:I153" si="218">+IFERROR(B150/B160,"nm")</f>
        <v>0.4338842975</v>
      </c>
      <c r="C153" s="43">
        <f t="shared" si="218"/>
        <v>0.4500978474</v>
      </c>
      <c r="D153" s="43">
        <f t="shared" si="218"/>
        <v>0.4371482176</v>
      </c>
      <c r="E153" s="43">
        <f t="shared" si="218"/>
        <v>0.3634840871</v>
      </c>
      <c r="F153" s="43">
        <f t="shared" si="218"/>
        <v>0.2932330827</v>
      </c>
      <c r="G153" s="43">
        <f t="shared" si="218"/>
        <v>0.2578313253</v>
      </c>
      <c r="H153" s="43">
        <f t="shared" si="218"/>
        <v>0.2846153846</v>
      </c>
      <c r="I153" s="43">
        <f t="shared" si="218"/>
        <v>0.278833967</v>
      </c>
      <c r="J153" s="44">
        <f t="shared" ref="J153:N153" si="219">+I153</f>
        <v>0.278833967</v>
      </c>
      <c r="K153" s="44">
        <f t="shared" si="219"/>
        <v>0.278833967</v>
      </c>
      <c r="L153" s="44">
        <f t="shared" si="219"/>
        <v>0.278833967</v>
      </c>
      <c r="M153" s="44">
        <f t="shared" si="219"/>
        <v>0.278833967</v>
      </c>
      <c r="N153" s="44">
        <f t="shared" si="219"/>
        <v>0.278833967</v>
      </c>
    </row>
    <row r="154" ht="15.75" customHeight="1">
      <c r="A154" s="12" t="s">
        <v>143</v>
      </c>
      <c r="B154" s="12">
        <f>+Historicals!B142</f>
        <v>-2267</v>
      </c>
      <c r="C154" s="12">
        <f>+Historicals!C142</f>
        <v>-2596</v>
      </c>
      <c r="D154" s="12">
        <f>+Historicals!D142</f>
        <v>-2677</v>
      </c>
      <c r="E154" s="12">
        <f>+Historicals!E142</f>
        <v>-2658</v>
      </c>
      <c r="F154" s="12">
        <f>+Historicals!F142</f>
        <v>-3262</v>
      </c>
      <c r="G154" s="12">
        <f>+Historicals!G142</f>
        <v>-3468</v>
      </c>
      <c r="H154" s="12">
        <f>+Historicals!H142</f>
        <v>-3656</v>
      </c>
      <c r="I154" s="12">
        <f>+Historicals!I142</f>
        <v>-4262</v>
      </c>
      <c r="J154" s="8">
        <f t="shared" ref="J154:N154" si="220">+J147-J150</f>
        <v>-5540.6</v>
      </c>
      <c r="K154" s="8">
        <f t="shared" si="220"/>
        <v>-6094.66</v>
      </c>
      <c r="L154" s="8">
        <f t="shared" si="220"/>
        <v>-6704.126</v>
      </c>
      <c r="M154" s="8">
        <f t="shared" si="220"/>
        <v>-7374.5386</v>
      </c>
      <c r="N154" s="8">
        <f t="shared" si="220"/>
        <v>-8111.99246</v>
      </c>
    </row>
    <row r="155" ht="15.75" customHeight="1">
      <c r="A155" s="42" t="s">
        <v>138</v>
      </c>
      <c r="B155" s="43" t="str">
        <f t="shared" ref="B155:N155" si="221">+IFERROR(B154/A154-1,"nm")</f>
        <v>nm</v>
      </c>
      <c r="C155" s="43">
        <f t="shared" si="221"/>
        <v>0.1451257168</v>
      </c>
      <c r="D155" s="43">
        <f t="shared" si="221"/>
        <v>0.031201849</v>
      </c>
      <c r="E155" s="43">
        <f t="shared" si="221"/>
        <v>-0.007097497198</v>
      </c>
      <c r="F155" s="43">
        <f t="shared" si="221"/>
        <v>0.2272385252</v>
      </c>
      <c r="G155" s="43">
        <f t="shared" si="221"/>
        <v>0.06315144083</v>
      </c>
      <c r="H155" s="43">
        <f t="shared" si="221"/>
        <v>0.05420991926</v>
      </c>
      <c r="I155" s="43">
        <f t="shared" si="221"/>
        <v>0.1657549234</v>
      </c>
      <c r="J155" s="44">
        <f t="shared" si="221"/>
        <v>0.3</v>
      </c>
      <c r="K155" s="44">
        <f t="shared" si="221"/>
        <v>0.1</v>
      </c>
      <c r="L155" s="44">
        <f t="shared" si="221"/>
        <v>0.1</v>
      </c>
      <c r="M155" s="44">
        <f t="shared" si="221"/>
        <v>0.1</v>
      </c>
      <c r="N155" s="44">
        <f t="shared" si="221"/>
        <v>0.1</v>
      </c>
    </row>
    <row r="156" ht="15.75" customHeight="1">
      <c r="A156" s="42" t="s">
        <v>140</v>
      </c>
      <c r="B156" s="43">
        <f t="shared" ref="B156:I156" si="222">+IFERROR(B154/B$145,"nm")</f>
        <v>-19.71304348</v>
      </c>
      <c r="C156" s="43">
        <f t="shared" si="222"/>
        <v>-35.56164384</v>
      </c>
      <c r="D156" s="43">
        <f t="shared" si="222"/>
        <v>-36.67123288</v>
      </c>
      <c r="E156" s="43">
        <f t="shared" si="222"/>
        <v>-30.20454545</v>
      </c>
      <c r="F156" s="43">
        <f t="shared" si="222"/>
        <v>-77.66666667</v>
      </c>
      <c r="G156" s="43">
        <f t="shared" si="222"/>
        <v>-115.6</v>
      </c>
      <c r="H156" s="43">
        <f t="shared" si="222"/>
        <v>-146.24</v>
      </c>
      <c r="I156" s="43">
        <f t="shared" si="222"/>
        <v>-41.78431373</v>
      </c>
      <c r="J156" s="44">
        <f t="shared" ref="J156:N156" si="223">+IFERROR(J154/J$21,"nm")</f>
        <v>-0.2897645735</v>
      </c>
      <c r="K156" s="44">
        <f t="shared" si="223"/>
        <v>-0.3056632065</v>
      </c>
      <c r="L156" s="44">
        <f t="shared" si="223"/>
        <v>-0.3221067615</v>
      </c>
      <c r="M156" s="44">
        <f t="shared" si="223"/>
        <v>-0.3390456708</v>
      </c>
      <c r="N156" s="44">
        <f t="shared" si="223"/>
        <v>-0.3564136754</v>
      </c>
    </row>
    <row r="157" ht="15.75" customHeight="1">
      <c r="A157" s="12" t="s">
        <v>144</v>
      </c>
      <c r="B157" s="12">
        <f>+Historicals!B164</f>
        <v>225</v>
      </c>
      <c r="C157" s="12">
        <f>+Historicals!C164</f>
        <v>258</v>
      </c>
      <c r="D157" s="12">
        <f>+Historicals!D164</f>
        <v>278</v>
      </c>
      <c r="E157" s="12">
        <f>+Historicals!E164</f>
        <v>286</v>
      </c>
      <c r="F157" s="12">
        <f>+Historicals!F164</f>
        <v>278</v>
      </c>
      <c r="G157" s="12">
        <f>+Historicals!G164</f>
        <v>438</v>
      </c>
      <c r="H157" s="12">
        <f>+Historicals!H164</f>
        <v>278</v>
      </c>
      <c r="I157" s="12">
        <f>+Historicals!I164</f>
        <v>222</v>
      </c>
      <c r="J157" s="8">
        <f t="shared" ref="J157:N157" si="224">+J145*J159</f>
        <v>288.6</v>
      </c>
      <c r="K157" s="8">
        <f t="shared" si="224"/>
        <v>317.46</v>
      </c>
      <c r="L157" s="8">
        <f t="shared" si="224"/>
        <v>349.206</v>
      </c>
      <c r="M157" s="8">
        <f t="shared" si="224"/>
        <v>384.1266</v>
      </c>
      <c r="N157" s="8">
        <f t="shared" si="224"/>
        <v>422.53926</v>
      </c>
    </row>
    <row r="158" ht="15.75" customHeight="1">
      <c r="A158" s="42" t="s">
        <v>138</v>
      </c>
      <c r="B158" s="43" t="str">
        <f t="shared" ref="B158:I158" si="225">+IFERROR(B157/A157-1,"nm")</f>
        <v>nm</v>
      </c>
      <c r="C158" s="43">
        <f t="shared" si="225"/>
        <v>0.1466666667</v>
      </c>
      <c r="D158" s="43">
        <f t="shared" si="225"/>
        <v>0.07751937984</v>
      </c>
      <c r="E158" s="43">
        <f t="shared" si="225"/>
        <v>0.02877697842</v>
      </c>
      <c r="F158" s="43">
        <f t="shared" si="225"/>
        <v>-0.02797202797</v>
      </c>
      <c r="G158" s="43">
        <f t="shared" si="225"/>
        <v>0.5755395683</v>
      </c>
      <c r="H158" s="43">
        <f t="shared" si="225"/>
        <v>-0.3652968037</v>
      </c>
      <c r="I158" s="43">
        <f t="shared" si="225"/>
        <v>-0.2014388489</v>
      </c>
      <c r="J158" s="44">
        <v>0.0</v>
      </c>
      <c r="K158" s="44">
        <f t="shared" ref="K158:N158" si="226">+IFERROR(K157/J157-1,"nm")</f>
        <v>0.1</v>
      </c>
      <c r="L158" s="44">
        <f t="shared" si="226"/>
        <v>0.1</v>
      </c>
      <c r="M158" s="44">
        <f t="shared" si="226"/>
        <v>0.1</v>
      </c>
      <c r="N158" s="44">
        <f t="shared" si="226"/>
        <v>0.1</v>
      </c>
    </row>
    <row r="159" ht="15.75" customHeight="1">
      <c r="A159" s="42" t="s">
        <v>142</v>
      </c>
      <c r="B159" s="43">
        <f t="shared" ref="B159:I159" si="227">+IFERROR(B157/B$145,"nm")</f>
        <v>1.956521739</v>
      </c>
      <c r="C159" s="43">
        <f t="shared" si="227"/>
        <v>3.534246575</v>
      </c>
      <c r="D159" s="43">
        <f t="shared" si="227"/>
        <v>3.808219178</v>
      </c>
      <c r="E159" s="43">
        <f t="shared" si="227"/>
        <v>3.25</v>
      </c>
      <c r="F159" s="43">
        <f t="shared" si="227"/>
        <v>6.619047619</v>
      </c>
      <c r="G159" s="43">
        <f t="shared" si="227"/>
        <v>14.6</v>
      </c>
      <c r="H159" s="43">
        <f t="shared" si="227"/>
        <v>11.12</v>
      </c>
      <c r="I159" s="43">
        <f t="shared" si="227"/>
        <v>2.176470588</v>
      </c>
      <c r="J159" s="44">
        <f t="shared" ref="J159:N159" si="228">+I159</f>
        <v>2.176470588</v>
      </c>
      <c r="K159" s="44">
        <f t="shared" si="228"/>
        <v>2.176470588</v>
      </c>
      <c r="L159" s="44">
        <f t="shared" si="228"/>
        <v>2.176470588</v>
      </c>
      <c r="M159" s="44">
        <f t="shared" si="228"/>
        <v>2.176470588</v>
      </c>
      <c r="N159" s="44">
        <f t="shared" si="228"/>
        <v>2.176470588</v>
      </c>
    </row>
    <row r="160" ht="15.75" customHeight="1">
      <c r="A160" s="12" t="s">
        <v>145</v>
      </c>
      <c r="B160" s="12">
        <f>+Historicals!B153</f>
        <v>484</v>
      </c>
      <c r="C160" s="12">
        <f>+Historicals!C153</f>
        <v>511</v>
      </c>
      <c r="D160" s="12">
        <f>+Historicals!D153</f>
        <v>533</v>
      </c>
      <c r="E160" s="12">
        <f>+Historicals!E153</f>
        <v>597</v>
      </c>
      <c r="F160" s="12">
        <f>+Historicals!F153</f>
        <v>665</v>
      </c>
      <c r="G160" s="12">
        <f>+Historicals!G153</f>
        <v>830</v>
      </c>
      <c r="H160" s="53">
        <f>+Historicals!H153</f>
        <v>780</v>
      </c>
      <c r="I160" s="53">
        <f>+Historicals!I153</f>
        <v>789</v>
      </c>
      <c r="J160" s="8">
        <f t="shared" ref="J160:N160" si="229">+J145*J162</f>
        <v>1025.7</v>
      </c>
      <c r="K160" s="8">
        <f t="shared" si="229"/>
        <v>1128.27</v>
      </c>
      <c r="L160" s="8">
        <f t="shared" si="229"/>
        <v>1241.097</v>
      </c>
      <c r="M160" s="8">
        <f t="shared" si="229"/>
        <v>1365.2067</v>
      </c>
      <c r="N160" s="8">
        <f t="shared" si="229"/>
        <v>1501.72737</v>
      </c>
    </row>
    <row r="161" ht="15.75" customHeight="1">
      <c r="A161" s="42" t="s">
        <v>138</v>
      </c>
      <c r="B161" s="43" t="str">
        <f t="shared" ref="B161:I161" si="230">+IFERROR(B160/A160-1,"nm")</f>
        <v>nm</v>
      </c>
      <c r="C161" s="43">
        <f t="shared" si="230"/>
        <v>0.05578512397</v>
      </c>
      <c r="D161" s="43">
        <f t="shared" si="230"/>
        <v>0.04305283757</v>
      </c>
      <c r="E161" s="43">
        <f t="shared" si="230"/>
        <v>0.1200750469</v>
      </c>
      <c r="F161" s="43">
        <f t="shared" si="230"/>
        <v>0.1139028476</v>
      </c>
      <c r="G161" s="43">
        <f t="shared" si="230"/>
        <v>0.2481203008</v>
      </c>
      <c r="H161" s="51">
        <f t="shared" si="230"/>
        <v>-0.06024096386</v>
      </c>
      <c r="I161" s="51">
        <f t="shared" si="230"/>
        <v>0.01153846154</v>
      </c>
      <c r="J161" s="44">
        <f t="shared" ref="J161:N161" si="231">+J162+J163</f>
        <v>7.735294118</v>
      </c>
      <c r="K161" s="44">
        <f t="shared" si="231"/>
        <v>7.735294118</v>
      </c>
      <c r="L161" s="44">
        <f t="shared" si="231"/>
        <v>7.735294118</v>
      </c>
      <c r="M161" s="44">
        <f t="shared" si="231"/>
        <v>7.735294118</v>
      </c>
      <c r="N161" s="44">
        <f t="shared" si="231"/>
        <v>7.735294118</v>
      </c>
    </row>
    <row r="162" ht="15.75" customHeight="1">
      <c r="A162" s="42" t="s">
        <v>142</v>
      </c>
      <c r="B162" s="43">
        <f t="shared" ref="B162:I162" si="232">+IFERROR(B160/B$145,"nm")</f>
        <v>4.208695652</v>
      </c>
      <c r="C162" s="43">
        <f t="shared" si="232"/>
        <v>7</v>
      </c>
      <c r="D162" s="43">
        <f t="shared" si="232"/>
        <v>7.301369863</v>
      </c>
      <c r="E162" s="43">
        <f t="shared" si="232"/>
        <v>6.784090909</v>
      </c>
      <c r="F162" s="43">
        <f t="shared" si="232"/>
        <v>15.83333333</v>
      </c>
      <c r="G162" s="43">
        <f t="shared" si="232"/>
        <v>27.66666667</v>
      </c>
      <c r="H162" s="51">
        <f t="shared" si="232"/>
        <v>31.2</v>
      </c>
      <c r="I162" s="51">
        <f t="shared" si="232"/>
        <v>7.735294118</v>
      </c>
      <c r="J162" s="44">
        <f t="shared" ref="J162:N162" si="233">+I162</f>
        <v>7.735294118</v>
      </c>
      <c r="K162" s="44">
        <f t="shared" si="233"/>
        <v>7.735294118</v>
      </c>
      <c r="L162" s="44">
        <f t="shared" si="233"/>
        <v>7.735294118</v>
      </c>
      <c r="M162" s="44">
        <f t="shared" si="233"/>
        <v>7.735294118</v>
      </c>
      <c r="N162" s="44">
        <f t="shared" si="233"/>
        <v>7.735294118</v>
      </c>
    </row>
    <row r="163" ht="15.75" customHeight="1">
      <c r="A163" s="54" t="s">
        <v>118</v>
      </c>
    </row>
    <row r="164" ht="15.75" customHeight="1">
      <c r="A164" s="12" t="s">
        <v>146</v>
      </c>
      <c r="B164" s="12">
        <f t="shared" ref="B164:F164" si="234">B166+B170+B174+B178</f>
        <v>28743</v>
      </c>
      <c r="C164" s="12">
        <f t="shared" si="234"/>
        <v>30434</v>
      </c>
      <c r="D164" s="12">
        <f t="shared" si="234"/>
        <v>32160</v>
      </c>
      <c r="E164" s="12">
        <f t="shared" si="234"/>
        <v>34500</v>
      </c>
      <c r="F164" s="12">
        <f t="shared" si="234"/>
        <v>37282</v>
      </c>
      <c r="G164" s="12">
        <f>G166+G170+G174+G178+G182</f>
        <v>35950</v>
      </c>
      <c r="H164" s="12">
        <f t="shared" ref="H164:I164" si="235">H166+H170+H174+H178</f>
        <v>2205</v>
      </c>
      <c r="I164" s="12">
        <f t="shared" si="235"/>
        <v>2346</v>
      </c>
      <c r="J164" s="8">
        <f t="shared" ref="J164:N164" si="236">+SUM(J166+J170+J174+J178)</f>
        <v>2623.65</v>
      </c>
      <c r="K164" s="8">
        <f t="shared" si="236"/>
        <v>2886.015</v>
      </c>
      <c r="L164" s="8">
        <f t="shared" si="236"/>
        <v>3174.6165</v>
      </c>
      <c r="M164" s="8">
        <f t="shared" si="236"/>
        <v>3492.07815</v>
      </c>
      <c r="N164" s="8">
        <f t="shared" si="236"/>
        <v>3841.285965</v>
      </c>
    </row>
    <row r="165" ht="15.75" customHeight="1">
      <c r="A165" s="42" t="s">
        <v>138</v>
      </c>
      <c r="B165" s="43" t="str">
        <f>+IFERROR(B145/A145-1,"nm")</f>
        <v>nm</v>
      </c>
      <c r="C165" s="43">
        <f t="shared" ref="C165:N165" si="237">+IFERROR(C164/B164-1,"nm")</f>
        <v>0.05883171555</v>
      </c>
      <c r="D165" s="43">
        <f t="shared" si="237"/>
        <v>0.0567128869</v>
      </c>
      <c r="E165" s="43">
        <f t="shared" si="237"/>
        <v>0.07276119403</v>
      </c>
      <c r="F165" s="43">
        <f t="shared" si="237"/>
        <v>0.08063768116</v>
      </c>
      <c r="G165" s="43">
        <f t="shared" si="237"/>
        <v>-0.03572769701</v>
      </c>
      <c r="H165" s="43">
        <f t="shared" si="237"/>
        <v>-0.9386648122</v>
      </c>
      <c r="I165" s="43">
        <f t="shared" si="237"/>
        <v>0.06394557823</v>
      </c>
      <c r="J165" s="44">
        <f t="shared" si="237"/>
        <v>0.1183503836</v>
      </c>
      <c r="K165" s="44">
        <f t="shared" si="237"/>
        <v>0.1</v>
      </c>
      <c r="L165" s="44">
        <f t="shared" si="237"/>
        <v>0.1</v>
      </c>
      <c r="M165" s="44">
        <f t="shared" si="237"/>
        <v>0.1</v>
      </c>
      <c r="N165" s="44">
        <f t="shared" si="237"/>
        <v>0.1</v>
      </c>
    </row>
    <row r="166" ht="15.75" customHeight="1">
      <c r="A166" s="46" t="s">
        <v>110</v>
      </c>
      <c r="B166" s="8">
        <f>+Historicals!B130</f>
        <v>18318</v>
      </c>
      <c r="C166" s="8">
        <f>+Historicals!C130</f>
        <v>19871</v>
      </c>
      <c r="D166" s="8">
        <f>+Historicals!D130</f>
        <v>21081</v>
      </c>
      <c r="E166" s="8">
        <f>+Historicals!E130</f>
        <v>22268</v>
      </c>
      <c r="F166" s="8">
        <f>+Historicals!F130</f>
        <v>24222</v>
      </c>
      <c r="G166" s="8">
        <f>+Historicals!G130</f>
        <v>23305</v>
      </c>
      <c r="H166" s="8">
        <f>+Historicals!H130</f>
        <v>1986</v>
      </c>
      <c r="I166" s="8">
        <f>+Historicals!I130</f>
        <v>2094</v>
      </c>
      <c r="J166" s="8">
        <f t="shared" ref="J166:N166" si="238">+I166*(1+J167)</f>
        <v>2303.4</v>
      </c>
      <c r="K166" s="8">
        <f t="shared" si="238"/>
        <v>2533.74</v>
      </c>
      <c r="L166" s="8">
        <f t="shared" si="238"/>
        <v>2787.114</v>
      </c>
      <c r="M166" s="8">
        <f t="shared" si="238"/>
        <v>3065.8254</v>
      </c>
      <c r="N166" s="8">
        <f t="shared" si="238"/>
        <v>3372.40794</v>
      </c>
    </row>
    <row r="167" ht="15.75" customHeight="1">
      <c r="A167" s="42" t="s">
        <v>138</v>
      </c>
      <c r="B167" s="43" t="str">
        <f t="shared" ref="B167:I167" si="239">+IFERROR(B166/A166-1,"nm")</f>
        <v>nm</v>
      </c>
      <c r="C167" s="43">
        <f t="shared" si="239"/>
        <v>0.08477999782</v>
      </c>
      <c r="D167" s="43">
        <f t="shared" si="239"/>
        <v>0.06089275829</v>
      </c>
      <c r="E167" s="43">
        <f t="shared" si="239"/>
        <v>0.05630662682</v>
      </c>
      <c r="F167" s="43">
        <f t="shared" si="239"/>
        <v>0.08774923657</v>
      </c>
      <c r="G167" s="43">
        <f t="shared" si="239"/>
        <v>-0.03785814549</v>
      </c>
      <c r="H167" s="43">
        <f t="shared" si="239"/>
        <v>-0.9147822356</v>
      </c>
      <c r="I167" s="43">
        <f t="shared" si="239"/>
        <v>0.05438066465</v>
      </c>
      <c r="J167" s="44">
        <f t="shared" ref="J167:N167" si="240">+J168+J169</f>
        <v>0.1</v>
      </c>
      <c r="K167" s="44">
        <f t="shared" si="240"/>
        <v>0.1</v>
      </c>
      <c r="L167" s="44">
        <f t="shared" si="240"/>
        <v>0.1</v>
      </c>
      <c r="M167" s="44">
        <f t="shared" si="240"/>
        <v>0.1</v>
      </c>
      <c r="N167" s="44">
        <f t="shared" si="240"/>
        <v>0.1</v>
      </c>
    </row>
    <row r="168" ht="15.75" customHeight="1">
      <c r="A168" s="42" t="s">
        <v>147</v>
      </c>
      <c r="B168" s="43" t="str">
        <f>+Historicals!B307</f>
        <v/>
      </c>
      <c r="C168" s="43" t="str">
        <f>+Historicals!C307</f>
        <v/>
      </c>
      <c r="D168" s="43" t="str">
        <f>+Historicals!D307</f>
        <v/>
      </c>
      <c r="E168" s="43" t="str">
        <f>+Historicals!E307</f>
        <v/>
      </c>
      <c r="F168" s="43" t="str">
        <f>+Historicals!F307</f>
        <v/>
      </c>
      <c r="G168" s="43" t="str">
        <f>+Historicals!G307</f>
        <v/>
      </c>
      <c r="H168" s="43" t="str">
        <f>+Historicals!H307</f>
        <v/>
      </c>
      <c r="I168" s="43" t="str">
        <f>+Historicals!I307</f>
        <v/>
      </c>
      <c r="J168" s="44">
        <v>0.1</v>
      </c>
      <c r="K168" s="44">
        <f t="shared" ref="K168:N168" si="241">+J168</f>
        <v>0.1</v>
      </c>
      <c r="L168" s="44">
        <f t="shared" si="241"/>
        <v>0.1</v>
      </c>
      <c r="M168" s="44">
        <f t="shared" si="241"/>
        <v>0.1</v>
      </c>
      <c r="N168" s="44">
        <f t="shared" si="241"/>
        <v>0.1</v>
      </c>
    </row>
    <row r="169" ht="15.75" customHeight="1">
      <c r="A169" s="42" t="s">
        <v>148</v>
      </c>
      <c r="B169" s="43" t="str">
        <f t="shared" ref="B169:I169" si="242">+IFERROR(B167-B168,"nm")</f>
        <v>nm</v>
      </c>
      <c r="C169" s="43">
        <f t="shared" si="242"/>
        <v>0.08477999782</v>
      </c>
      <c r="D169" s="43">
        <f t="shared" si="242"/>
        <v>0.06089275829</v>
      </c>
      <c r="E169" s="43">
        <f t="shared" si="242"/>
        <v>0.05630662682</v>
      </c>
      <c r="F169" s="43">
        <f t="shared" si="242"/>
        <v>0.08774923657</v>
      </c>
      <c r="G169" s="43">
        <f t="shared" si="242"/>
        <v>-0.03785814549</v>
      </c>
      <c r="H169" s="43">
        <f t="shared" si="242"/>
        <v>-0.9147822356</v>
      </c>
      <c r="I169" s="43">
        <f t="shared" si="242"/>
        <v>0.05438066465</v>
      </c>
      <c r="J169" s="44">
        <v>0.0</v>
      </c>
      <c r="K169" s="44">
        <f t="shared" ref="K169:N169" si="243">+J169</f>
        <v>0</v>
      </c>
      <c r="L169" s="44">
        <f t="shared" si="243"/>
        <v>0</v>
      </c>
      <c r="M169" s="44">
        <f t="shared" si="243"/>
        <v>0</v>
      </c>
      <c r="N169" s="44">
        <f t="shared" si="243"/>
        <v>0</v>
      </c>
    </row>
    <row r="170" ht="15.75" customHeight="1">
      <c r="A170" s="46" t="s">
        <v>111</v>
      </c>
      <c r="B170" s="8">
        <f>+Historicals!B131</f>
        <v>8637</v>
      </c>
      <c r="C170" s="8">
        <f>+Historicals!C131</f>
        <v>9067</v>
      </c>
      <c r="D170" s="8">
        <f>+Historicals!D131</f>
        <v>9654</v>
      </c>
      <c r="E170" s="8">
        <f>+Historicals!E131</f>
        <v>10733</v>
      </c>
      <c r="F170" s="8">
        <f>+Historicals!F131</f>
        <v>11550</v>
      </c>
      <c r="G170" s="8">
        <f>+Historicals!G131</f>
        <v>10953</v>
      </c>
      <c r="H170" s="8">
        <f>+Historicals!H131</f>
        <v>104</v>
      </c>
      <c r="I170" s="8">
        <f>+Historicals!I131</f>
        <v>103</v>
      </c>
      <c r="J170" s="8">
        <f t="shared" ref="J170:N170" si="244">+I170*(1+J171)</f>
        <v>113.3</v>
      </c>
      <c r="K170" s="8">
        <f t="shared" si="244"/>
        <v>124.63</v>
      </c>
      <c r="L170" s="8">
        <f t="shared" si="244"/>
        <v>137.093</v>
      </c>
      <c r="M170" s="8">
        <f t="shared" si="244"/>
        <v>150.8023</v>
      </c>
      <c r="N170" s="8">
        <f t="shared" si="244"/>
        <v>165.88253</v>
      </c>
    </row>
    <row r="171" ht="15.75" customHeight="1">
      <c r="A171" s="42" t="s">
        <v>138</v>
      </c>
      <c r="B171" s="43" t="str">
        <f t="shared" ref="B171:I171" si="245">+IFERROR(B170/A170-1,"nm")</f>
        <v>nm</v>
      </c>
      <c r="C171" s="43">
        <f t="shared" si="245"/>
        <v>0.04978580526</v>
      </c>
      <c r="D171" s="43">
        <f t="shared" si="245"/>
        <v>0.0647402669</v>
      </c>
      <c r="E171" s="43">
        <f t="shared" si="245"/>
        <v>0.1117671432</v>
      </c>
      <c r="F171" s="43">
        <f t="shared" si="245"/>
        <v>0.07612037641</v>
      </c>
      <c r="G171" s="43">
        <f t="shared" si="245"/>
        <v>-0.05168831169</v>
      </c>
      <c r="H171" s="43">
        <f t="shared" si="245"/>
        <v>-0.9905048845</v>
      </c>
      <c r="I171" s="43">
        <f t="shared" si="245"/>
        <v>-0.009615384615</v>
      </c>
      <c r="J171" s="44">
        <f t="shared" ref="J171:N171" si="246">+J172+J173</f>
        <v>0.1</v>
      </c>
      <c r="K171" s="44">
        <f t="shared" si="246"/>
        <v>0.1</v>
      </c>
      <c r="L171" s="44">
        <f t="shared" si="246"/>
        <v>0.1</v>
      </c>
      <c r="M171" s="44">
        <f t="shared" si="246"/>
        <v>0.1</v>
      </c>
      <c r="N171" s="44">
        <f t="shared" si="246"/>
        <v>0.1</v>
      </c>
    </row>
    <row r="172" ht="15.75" customHeight="1">
      <c r="A172" s="42" t="s">
        <v>147</v>
      </c>
      <c r="B172" s="43" t="str">
        <f>+Historicals!B311</f>
        <v/>
      </c>
      <c r="C172" s="43" t="str">
        <f>+Historicals!C311</f>
        <v/>
      </c>
      <c r="D172" s="43" t="str">
        <f>+Historicals!D311</f>
        <v/>
      </c>
      <c r="E172" s="43" t="str">
        <f>+Historicals!E311</f>
        <v/>
      </c>
      <c r="F172" s="43" t="str">
        <f>+Historicals!F311</f>
        <v/>
      </c>
      <c r="G172" s="43" t="str">
        <f>+Historicals!G311</f>
        <v/>
      </c>
      <c r="H172" s="43" t="str">
        <f>+Historicals!H311</f>
        <v/>
      </c>
      <c r="I172" s="43" t="str">
        <f>+Historicals!I311</f>
        <v/>
      </c>
      <c r="J172" s="44">
        <v>0.1</v>
      </c>
      <c r="K172" s="44">
        <f t="shared" ref="K172:N172" si="247">+J172</f>
        <v>0.1</v>
      </c>
      <c r="L172" s="44">
        <f t="shared" si="247"/>
        <v>0.1</v>
      </c>
      <c r="M172" s="44">
        <f t="shared" si="247"/>
        <v>0.1</v>
      </c>
      <c r="N172" s="44">
        <f t="shared" si="247"/>
        <v>0.1</v>
      </c>
    </row>
    <row r="173" ht="15.75" customHeight="1">
      <c r="A173" s="42" t="s">
        <v>148</v>
      </c>
      <c r="B173" s="43" t="str">
        <f t="shared" ref="B173:I173" si="248">+IFERROR(B171-B172,"nm")</f>
        <v>nm</v>
      </c>
      <c r="C173" s="43">
        <f t="shared" si="248"/>
        <v>0.04978580526</v>
      </c>
      <c r="D173" s="43">
        <f t="shared" si="248"/>
        <v>0.0647402669</v>
      </c>
      <c r="E173" s="43">
        <f t="shared" si="248"/>
        <v>0.1117671432</v>
      </c>
      <c r="F173" s="43">
        <f t="shared" si="248"/>
        <v>0.07612037641</v>
      </c>
      <c r="G173" s="43">
        <f t="shared" si="248"/>
        <v>-0.05168831169</v>
      </c>
      <c r="H173" s="43">
        <f t="shared" si="248"/>
        <v>-0.9905048845</v>
      </c>
      <c r="I173" s="43">
        <f t="shared" si="248"/>
        <v>-0.009615384615</v>
      </c>
      <c r="J173" s="44">
        <v>0.0</v>
      </c>
      <c r="K173" s="44">
        <f t="shared" ref="K173:N173" si="249">+J173</f>
        <v>0</v>
      </c>
      <c r="L173" s="44">
        <f t="shared" si="249"/>
        <v>0</v>
      </c>
      <c r="M173" s="44">
        <f t="shared" si="249"/>
        <v>0</v>
      </c>
      <c r="N173" s="44">
        <f t="shared" si="249"/>
        <v>0</v>
      </c>
    </row>
    <row r="174" ht="15.75" customHeight="1">
      <c r="A174" s="46" t="s">
        <v>112</v>
      </c>
      <c r="B174" s="8">
        <f>+Historicals!B132</f>
        <v>1788</v>
      </c>
      <c r="C174" s="8">
        <f>+Historicals!C132</f>
        <v>1496</v>
      </c>
      <c r="D174" s="8">
        <f>+Historicals!D132</f>
        <v>1425</v>
      </c>
      <c r="E174" s="8">
        <f>+Historicals!E132</f>
        <v>1396</v>
      </c>
      <c r="F174" s="8">
        <f>+Historicals!F132</f>
        <v>1404</v>
      </c>
      <c r="G174" s="8">
        <f>+Historicals!G132</f>
        <v>1280</v>
      </c>
      <c r="H174" s="8">
        <f>+Historicals!H132</f>
        <v>29</v>
      </c>
      <c r="I174" s="8">
        <f>+Historicals!I132</f>
        <v>26</v>
      </c>
      <c r="J174" s="8">
        <f t="shared" ref="J174:N174" si="250">+I174*(1+J175)</f>
        <v>28.6</v>
      </c>
      <c r="K174" s="8">
        <f t="shared" si="250"/>
        <v>31.46</v>
      </c>
      <c r="L174" s="8">
        <f t="shared" si="250"/>
        <v>34.606</v>
      </c>
      <c r="M174" s="8">
        <f t="shared" si="250"/>
        <v>38.0666</v>
      </c>
      <c r="N174" s="8">
        <f t="shared" si="250"/>
        <v>41.87326</v>
      </c>
    </row>
    <row r="175" ht="15.75" customHeight="1">
      <c r="A175" s="42" t="s">
        <v>138</v>
      </c>
      <c r="B175" s="43" t="str">
        <f>+IFERROR(B178/A178-1,"nm")</f>
        <v>nm</v>
      </c>
      <c r="C175" s="43">
        <f t="shared" ref="C175:I175" si="251">+IFERROR(C174/B174-1,"nm")</f>
        <v>-0.163310962</v>
      </c>
      <c r="D175" s="43">
        <f t="shared" si="251"/>
        <v>-0.04745989305</v>
      </c>
      <c r="E175" s="43">
        <f t="shared" si="251"/>
        <v>-0.02035087719</v>
      </c>
      <c r="F175" s="43">
        <f t="shared" si="251"/>
        <v>0.005730659026</v>
      </c>
      <c r="G175" s="43">
        <f t="shared" si="251"/>
        <v>-0.08831908832</v>
      </c>
      <c r="H175" s="43">
        <f t="shared" si="251"/>
        <v>-0.97734375</v>
      </c>
      <c r="I175" s="43">
        <f t="shared" si="251"/>
        <v>-0.1034482759</v>
      </c>
      <c r="J175" s="44">
        <f t="shared" ref="J175:N175" si="252">+J176+J177</f>
        <v>0.1</v>
      </c>
      <c r="K175" s="44">
        <f t="shared" si="252"/>
        <v>0.1</v>
      </c>
      <c r="L175" s="44">
        <f t="shared" si="252"/>
        <v>0.1</v>
      </c>
      <c r="M175" s="44">
        <f t="shared" si="252"/>
        <v>0.1</v>
      </c>
      <c r="N175" s="44">
        <f t="shared" si="252"/>
        <v>0.1</v>
      </c>
    </row>
    <row r="176" ht="15.75" customHeight="1">
      <c r="A176" s="42" t="s">
        <v>147</v>
      </c>
      <c r="B176" s="43" t="str">
        <f>+Historicals!B309</f>
        <v/>
      </c>
      <c r="C176" s="43" t="str">
        <f>+Historicals!C309</f>
        <v/>
      </c>
      <c r="D176" s="43" t="str">
        <f>+Historicals!D309</f>
        <v/>
      </c>
      <c r="E176" s="43" t="str">
        <f>+Historicals!E309</f>
        <v/>
      </c>
      <c r="F176" s="43" t="str">
        <f>+Historicals!F309</f>
        <v/>
      </c>
      <c r="G176" s="43" t="str">
        <f>+Historicals!G309</f>
        <v/>
      </c>
      <c r="H176" s="43" t="str">
        <f>+Historicals!H309</f>
        <v/>
      </c>
      <c r="I176" s="43" t="str">
        <f>+Historicals!I309</f>
        <v/>
      </c>
      <c r="J176" s="44">
        <v>0.1</v>
      </c>
      <c r="K176" s="44">
        <f t="shared" ref="K176:N176" si="253">+J176</f>
        <v>0.1</v>
      </c>
      <c r="L176" s="44">
        <f t="shared" si="253"/>
        <v>0.1</v>
      </c>
      <c r="M176" s="44">
        <f t="shared" si="253"/>
        <v>0.1</v>
      </c>
      <c r="N176" s="44">
        <f t="shared" si="253"/>
        <v>0.1</v>
      </c>
    </row>
    <row r="177" ht="15.75" customHeight="1">
      <c r="A177" s="42" t="s">
        <v>148</v>
      </c>
      <c r="B177" s="43" t="str">
        <f t="shared" ref="B177:I177" si="254">+IFERROR(B175-B176,"nm")</f>
        <v>nm</v>
      </c>
      <c r="C177" s="43">
        <f t="shared" si="254"/>
        <v>-0.163310962</v>
      </c>
      <c r="D177" s="43">
        <f t="shared" si="254"/>
        <v>-0.04745989305</v>
      </c>
      <c r="E177" s="43">
        <f t="shared" si="254"/>
        <v>-0.02035087719</v>
      </c>
      <c r="F177" s="43">
        <f t="shared" si="254"/>
        <v>0.005730659026</v>
      </c>
      <c r="G177" s="43">
        <f t="shared" si="254"/>
        <v>-0.08831908832</v>
      </c>
      <c r="H177" s="43">
        <f t="shared" si="254"/>
        <v>-0.97734375</v>
      </c>
      <c r="I177" s="43">
        <f t="shared" si="254"/>
        <v>-0.1034482759</v>
      </c>
      <c r="J177" s="44">
        <v>0.0</v>
      </c>
      <c r="K177" s="44">
        <f t="shared" ref="K177:N177" si="255">+J177</f>
        <v>0</v>
      </c>
      <c r="L177" s="44">
        <f t="shared" si="255"/>
        <v>0</v>
      </c>
      <c r="M177" s="44">
        <f t="shared" si="255"/>
        <v>0</v>
      </c>
      <c r="N177" s="44">
        <f t="shared" si="255"/>
        <v>0</v>
      </c>
    </row>
    <row r="178" ht="15.75" customHeight="1">
      <c r="A178" s="52" t="s">
        <v>119</v>
      </c>
      <c r="B178" s="29">
        <f>+Historicals!B133</f>
        <v>0</v>
      </c>
      <c r="C178" s="29">
        <f>+Historicals!C133</f>
        <v>0</v>
      </c>
      <c r="D178" s="29">
        <f>+Historicals!D133</f>
        <v>0</v>
      </c>
      <c r="E178" s="29">
        <f>+Historicals!E133</f>
        <v>103</v>
      </c>
      <c r="F178" s="29">
        <f>+Historicals!F133</f>
        <v>106</v>
      </c>
      <c r="G178" s="29">
        <f>+Historicals!G133</f>
        <v>90</v>
      </c>
      <c r="H178" s="29">
        <f>+Historicals!H133</f>
        <v>86</v>
      </c>
      <c r="I178" s="29">
        <f>+Historicals!I133</f>
        <v>123</v>
      </c>
      <c r="J178" s="8">
        <f t="shared" ref="J178:N178" si="256">+I178*(1+J179)</f>
        <v>178.35</v>
      </c>
      <c r="K178" s="8">
        <f t="shared" si="256"/>
        <v>196.185</v>
      </c>
      <c r="L178" s="8">
        <f t="shared" si="256"/>
        <v>215.8035</v>
      </c>
      <c r="M178" s="8">
        <f t="shared" si="256"/>
        <v>237.38385</v>
      </c>
      <c r="N178" s="8">
        <f t="shared" si="256"/>
        <v>261.122235</v>
      </c>
    </row>
    <row r="179" ht="15.75" customHeight="1">
      <c r="A179" s="50" t="s">
        <v>151</v>
      </c>
      <c r="B179" s="51" t="s">
        <v>163</v>
      </c>
      <c r="C179" s="51" t="str">
        <f t="shared" ref="C179:G179" si="257">+IFERROR(C178/B178-1,"nm")</f>
        <v>nm</v>
      </c>
      <c r="D179" s="51" t="str">
        <f t="shared" si="257"/>
        <v>nm</v>
      </c>
      <c r="E179" s="51" t="str">
        <f t="shared" si="257"/>
        <v>nm</v>
      </c>
      <c r="F179" s="51">
        <f t="shared" si="257"/>
        <v>0.02912621359</v>
      </c>
      <c r="G179" s="51">
        <f t="shared" si="257"/>
        <v>-0.1509433962</v>
      </c>
      <c r="H179" s="51">
        <f>+IFERROR(CG178/G178-1,"nm")</f>
        <v>-1</v>
      </c>
      <c r="I179" s="51">
        <f>+IFERROR(I178/H178-1,"nm")</f>
        <v>0.4302325581</v>
      </c>
      <c r="J179" s="44">
        <v>0.45</v>
      </c>
      <c r="K179" s="44">
        <f t="shared" ref="K179:N179" si="258">+K180+K181</f>
        <v>0.1</v>
      </c>
      <c r="L179" s="44">
        <f t="shared" si="258"/>
        <v>0.1</v>
      </c>
      <c r="M179" s="44">
        <f t="shared" si="258"/>
        <v>0.1</v>
      </c>
      <c r="N179" s="44">
        <f t="shared" si="258"/>
        <v>0.1</v>
      </c>
    </row>
    <row r="180" ht="15.75" customHeight="1">
      <c r="A180" s="50" t="s">
        <v>153</v>
      </c>
      <c r="B180" s="51">
        <v>0.0</v>
      </c>
      <c r="C180" s="51">
        <v>0.0</v>
      </c>
      <c r="D180" s="51">
        <v>0.0</v>
      </c>
      <c r="E180" s="51">
        <v>0.0</v>
      </c>
      <c r="F180" s="51">
        <v>0.0</v>
      </c>
      <c r="G180" s="51">
        <v>0.0</v>
      </c>
      <c r="H180" s="51">
        <v>0.0</v>
      </c>
      <c r="I180" s="51">
        <v>0.0</v>
      </c>
      <c r="J180" s="44">
        <v>0.1</v>
      </c>
      <c r="K180" s="44">
        <f t="shared" ref="K180:N180" si="259">+J180</f>
        <v>0.1</v>
      </c>
      <c r="L180" s="44">
        <f t="shared" si="259"/>
        <v>0.1</v>
      </c>
      <c r="M180" s="44">
        <f t="shared" si="259"/>
        <v>0.1</v>
      </c>
      <c r="N180" s="44">
        <f t="shared" si="259"/>
        <v>0.1</v>
      </c>
    </row>
    <row r="181" ht="15.75" customHeight="1">
      <c r="A181" s="50" t="s">
        <v>154</v>
      </c>
      <c r="B181" s="51" t="str">
        <f t="shared" ref="B181:I181" si="260">+IFERROR(B179-B180,"nm")</f>
        <v>nm</v>
      </c>
      <c r="C181" s="51" t="str">
        <f t="shared" si="260"/>
        <v>nm</v>
      </c>
      <c r="D181" s="51" t="str">
        <f t="shared" si="260"/>
        <v>nm</v>
      </c>
      <c r="E181" s="51" t="str">
        <f t="shared" si="260"/>
        <v>nm</v>
      </c>
      <c r="F181" s="51">
        <f t="shared" si="260"/>
        <v>0.02912621359</v>
      </c>
      <c r="G181" s="51">
        <f t="shared" si="260"/>
        <v>-0.1509433962</v>
      </c>
      <c r="H181" s="51">
        <f t="shared" si="260"/>
        <v>-1</v>
      </c>
      <c r="I181" s="51">
        <f t="shared" si="260"/>
        <v>0.4302325581</v>
      </c>
      <c r="J181" s="44">
        <v>0.0</v>
      </c>
      <c r="K181" s="44">
        <f t="shared" ref="K181:N181" si="261">+J181</f>
        <v>0</v>
      </c>
      <c r="L181" s="44">
        <f t="shared" si="261"/>
        <v>0</v>
      </c>
      <c r="M181" s="44">
        <f t="shared" si="261"/>
        <v>0</v>
      </c>
      <c r="N181" s="44">
        <f t="shared" si="261"/>
        <v>0</v>
      </c>
    </row>
    <row r="182" ht="15.75" customHeight="1">
      <c r="A182" s="12" t="s">
        <v>139</v>
      </c>
      <c r="B182" s="12">
        <f t="shared" ref="B182:I182" si="262">+B189+B185</f>
        <v>535</v>
      </c>
      <c r="C182" s="12">
        <f t="shared" si="262"/>
        <v>514</v>
      </c>
      <c r="D182" s="12">
        <f t="shared" si="262"/>
        <v>505</v>
      </c>
      <c r="E182" s="12">
        <f t="shared" si="262"/>
        <v>343</v>
      </c>
      <c r="F182" s="12">
        <f t="shared" si="262"/>
        <v>334</v>
      </c>
      <c r="G182" s="12">
        <f t="shared" si="262"/>
        <v>322</v>
      </c>
      <c r="H182" s="12">
        <f t="shared" si="262"/>
        <v>569</v>
      </c>
      <c r="I182" s="12">
        <f t="shared" si="262"/>
        <v>691</v>
      </c>
      <c r="J182" s="8">
        <f t="shared" ref="J182:N182" si="263">+J164*J184</f>
        <v>865.8045</v>
      </c>
      <c r="K182" s="8">
        <f t="shared" si="263"/>
        <v>952.38495</v>
      </c>
      <c r="L182" s="8">
        <f t="shared" si="263"/>
        <v>1047.623445</v>
      </c>
      <c r="M182" s="8">
        <f t="shared" si="263"/>
        <v>1152.38579</v>
      </c>
      <c r="N182" s="8">
        <f t="shared" si="263"/>
        <v>1267.624368</v>
      </c>
    </row>
    <row r="183" ht="15.75" customHeight="1">
      <c r="A183" s="42" t="s">
        <v>138</v>
      </c>
      <c r="B183" s="43" t="str">
        <f t="shared" ref="B183:N183" si="264">+IFERROR(B182/A182-1,"nm")</f>
        <v>nm</v>
      </c>
      <c r="C183" s="43">
        <f t="shared" si="264"/>
        <v>-0.03925233645</v>
      </c>
      <c r="D183" s="43">
        <f t="shared" si="264"/>
        <v>-0.01750972763</v>
      </c>
      <c r="E183" s="43">
        <f t="shared" si="264"/>
        <v>-0.3207920792</v>
      </c>
      <c r="F183" s="43">
        <f t="shared" si="264"/>
        <v>-0.02623906706</v>
      </c>
      <c r="G183" s="43">
        <f t="shared" si="264"/>
        <v>-0.03592814371</v>
      </c>
      <c r="H183" s="43">
        <f t="shared" si="264"/>
        <v>0.7670807453</v>
      </c>
      <c r="I183" s="43">
        <f t="shared" si="264"/>
        <v>0.2144112478</v>
      </c>
      <c r="J183" s="44">
        <f t="shared" si="264"/>
        <v>0.2529732272</v>
      </c>
      <c r="K183" s="44">
        <f t="shared" si="264"/>
        <v>0.1</v>
      </c>
      <c r="L183" s="44">
        <f t="shared" si="264"/>
        <v>0.1</v>
      </c>
      <c r="M183" s="44">
        <f t="shared" si="264"/>
        <v>0.1</v>
      </c>
      <c r="N183" s="44">
        <f t="shared" si="264"/>
        <v>0.1</v>
      </c>
    </row>
    <row r="184" ht="15.75" customHeight="1">
      <c r="A184" s="42" t="s">
        <v>140</v>
      </c>
      <c r="B184" s="43">
        <f t="shared" ref="B184:I184" si="265">+IFERROR(B182/B$164,"nm")</f>
        <v>0.01861322757</v>
      </c>
      <c r="C184" s="43">
        <f t="shared" si="265"/>
        <v>0.01688900572</v>
      </c>
      <c r="D184" s="43">
        <f t="shared" si="265"/>
        <v>0.01570273632</v>
      </c>
      <c r="E184" s="43">
        <f t="shared" si="265"/>
        <v>0.009942028986</v>
      </c>
      <c r="F184" s="43">
        <f t="shared" si="265"/>
        <v>0.008958746848</v>
      </c>
      <c r="G184" s="43">
        <f t="shared" si="265"/>
        <v>0.008956884562</v>
      </c>
      <c r="H184" s="43">
        <f t="shared" si="265"/>
        <v>0.2580498866</v>
      </c>
      <c r="I184" s="43">
        <f t="shared" si="265"/>
        <v>0.2945439045</v>
      </c>
      <c r="J184" s="44">
        <v>0.33</v>
      </c>
      <c r="K184" s="44">
        <f t="shared" ref="K184:N184" si="266">+J184</f>
        <v>0.33</v>
      </c>
      <c r="L184" s="44">
        <f t="shared" si="266"/>
        <v>0.33</v>
      </c>
      <c r="M184" s="44">
        <f t="shared" si="266"/>
        <v>0.33</v>
      </c>
      <c r="N184" s="44">
        <f t="shared" si="266"/>
        <v>0.33</v>
      </c>
    </row>
    <row r="185" ht="15.75" customHeight="1">
      <c r="A185" s="12" t="s">
        <v>141</v>
      </c>
      <c r="B185" s="12">
        <f>+Historicals!B177</f>
        <v>18</v>
      </c>
      <c r="C185" s="12">
        <f>+Historicals!C177</f>
        <v>27</v>
      </c>
      <c r="D185" s="12">
        <f>+Historicals!D177</f>
        <v>28</v>
      </c>
      <c r="E185" s="12">
        <f>+Historicals!E177</f>
        <v>33</v>
      </c>
      <c r="F185" s="12">
        <f>+Historicals!F177</f>
        <v>31</v>
      </c>
      <c r="G185" s="12">
        <f>+Historicals!G177</f>
        <v>25</v>
      </c>
      <c r="H185" s="12">
        <f>+Historicals!H177</f>
        <v>26</v>
      </c>
      <c r="I185" s="12">
        <f>+Historicals!I177</f>
        <v>22</v>
      </c>
      <c r="J185" s="8">
        <f t="shared" ref="J185:N185" si="267">+J188*J195</f>
        <v>58.89826531</v>
      </c>
      <c r="K185" s="8">
        <f t="shared" si="267"/>
        <v>64.78809184</v>
      </c>
      <c r="L185" s="8">
        <f t="shared" si="267"/>
        <v>71.26690102</v>
      </c>
      <c r="M185" s="8">
        <f t="shared" si="267"/>
        <v>78.39359112</v>
      </c>
      <c r="N185" s="8">
        <f t="shared" si="267"/>
        <v>86.23295023</v>
      </c>
    </row>
    <row r="186" ht="15.75" customHeight="1">
      <c r="A186" s="42" t="s">
        <v>138</v>
      </c>
      <c r="B186" s="43" t="str">
        <f t="shared" ref="B186:N186" si="268">+IFERROR(B185/A185-1,"nm")</f>
        <v>nm</v>
      </c>
      <c r="C186" s="43">
        <f t="shared" si="268"/>
        <v>0.5</v>
      </c>
      <c r="D186" s="43">
        <f t="shared" si="268"/>
        <v>0.03703703704</v>
      </c>
      <c r="E186" s="43">
        <f t="shared" si="268"/>
        <v>0.1785714286</v>
      </c>
      <c r="F186" s="43">
        <f t="shared" si="268"/>
        <v>-0.06060606061</v>
      </c>
      <c r="G186" s="43">
        <f t="shared" si="268"/>
        <v>-0.1935483871</v>
      </c>
      <c r="H186" s="43">
        <f t="shared" si="268"/>
        <v>0.04</v>
      </c>
      <c r="I186" s="43">
        <f t="shared" si="268"/>
        <v>-0.1538461538</v>
      </c>
      <c r="J186" s="44">
        <f t="shared" si="268"/>
        <v>1.677193878</v>
      </c>
      <c r="K186" s="44">
        <f t="shared" si="268"/>
        <v>0.1</v>
      </c>
      <c r="L186" s="44">
        <f t="shared" si="268"/>
        <v>0.1</v>
      </c>
      <c r="M186" s="44">
        <f t="shared" si="268"/>
        <v>0.1</v>
      </c>
      <c r="N186" s="44">
        <f t="shared" si="268"/>
        <v>0.1</v>
      </c>
    </row>
    <row r="187" ht="15.75" customHeight="1">
      <c r="A187" s="42" t="s">
        <v>142</v>
      </c>
      <c r="B187" s="43">
        <f t="shared" ref="B187:I187" si="269">+IFERROR(B185/B$164,"nm")</f>
        <v>0.0006262394322</v>
      </c>
      <c r="C187" s="43">
        <f t="shared" si="269"/>
        <v>0.00088716567</v>
      </c>
      <c r="D187" s="43">
        <f t="shared" si="269"/>
        <v>0.0008706467662</v>
      </c>
      <c r="E187" s="43">
        <f t="shared" si="269"/>
        <v>0.0009565217391</v>
      </c>
      <c r="F187" s="43">
        <f t="shared" si="269"/>
        <v>0.000831500456</v>
      </c>
      <c r="G187" s="43">
        <f t="shared" si="269"/>
        <v>0.0006954102921</v>
      </c>
      <c r="H187" s="43">
        <f t="shared" si="269"/>
        <v>0.01179138322</v>
      </c>
      <c r="I187" s="43">
        <f t="shared" si="269"/>
        <v>0.009377664109</v>
      </c>
      <c r="J187" s="44">
        <f t="shared" ref="J187:N187" si="270">+IFERROR(J185/J$21,"nm")</f>
        <v>0.003080285659</v>
      </c>
      <c r="K187" s="44">
        <f t="shared" si="270"/>
        <v>0.00324929297</v>
      </c>
      <c r="L187" s="44">
        <f t="shared" si="270"/>
        <v>0.003424092967</v>
      </c>
      <c r="M187" s="44">
        <f t="shared" si="270"/>
        <v>0.003604158732</v>
      </c>
      <c r="N187" s="44">
        <f t="shared" si="270"/>
        <v>0.00378878591</v>
      </c>
    </row>
    <row r="188" ht="15.75" customHeight="1">
      <c r="A188" s="42" t="s">
        <v>149</v>
      </c>
      <c r="B188" s="43">
        <f t="shared" ref="B188:I188" si="271">+IFERROR(B185/B195,"nm")</f>
        <v>0.1475409836</v>
      </c>
      <c r="C188" s="43">
        <f t="shared" si="271"/>
        <v>0.216</v>
      </c>
      <c r="D188" s="43">
        <f t="shared" si="271"/>
        <v>0.224</v>
      </c>
      <c r="E188" s="43">
        <f t="shared" si="271"/>
        <v>0.2869565217</v>
      </c>
      <c r="F188" s="43">
        <f t="shared" si="271"/>
        <v>0.31</v>
      </c>
      <c r="G188" s="43">
        <f t="shared" si="271"/>
        <v>0.3125</v>
      </c>
      <c r="H188" s="43">
        <f t="shared" si="271"/>
        <v>0.4126984127</v>
      </c>
      <c r="I188" s="43">
        <f t="shared" si="271"/>
        <v>0.4489795918</v>
      </c>
      <c r="J188" s="44">
        <f t="shared" ref="J188:N188" si="272">+I188</f>
        <v>0.4489795918</v>
      </c>
      <c r="K188" s="44">
        <f t="shared" si="272"/>
        <v>0.4489795918</v>
      </c>
      <c r="L188" s="44">
        <f t="shared" si="272"/>
        <v>0.4489795918</v>
      </c>
      <c r="M188" s="44">
        <f t="shared" si="272"/>
        <v>0.4489795918</v>
      </c>
      <c r="N188" s="44">
        <f t="shared" si="272"/>
        <v>0.4489795918</v>
      </c>
    </row>
    <row r="189" ht="15.75" customHeight="1">
      <c r="A189" s="12" t="s">
        <v>143</v>
      </c>
      <c r="B189" s="12">
        <f>+Historicals!B144</f>
        <v>517</v>
      </c>
      <c r="C189" s="12">
        <f>+Historicals!C144</f>
        <v>487</v>
      </c>
      <c r="D189" s="12">
        <f>+Historicals!D144</f>
        <v>477</v>
      </c>
      <c r="E189" s="12">
        <f>+Historicals!E144</f>
        <v>310</v>
      </c>
      <c r="F189" s="12">
        <f>+Historicals!F144</f>
        <v>303</v>
      </c>
      <c r="G189" s="12">
        <f>+Historicals!G144</f>
        <v>297</v>
      </c>
      <c r="H189" s="12">
        <f>+Historicals!H144</f>
        <v>543</v>
      </c>
      <c r="I189" s="12">
        <f>+Historicals!I144</f>
        <v>669</v>
      </c>
      <c r="J189" s="8">
        <f t="shared" ref="J189:N189" si="273">+J182-J185</f>
        <v>806.9062347</v>
      </c>
      <c r="K189" s="8">
        <f t="shared" si="273"/>
        <v>887.5968582</v>
      </c>
      <c r="L189" s="8">
        <f t="shared" si="273"/>
        <v>976.356544</v>
      </c>
      <c r="M189" s="8">
        <f t="shared" si="273"/>
        <v>1073.992198</v>
      </c>
      <c r="N189" s="8">
        <f t="shared" si="273"/>
        <v>1181.391418</v>
      </c>
    </row>
    <row r="190" ht="15.75" customHeight="1">
      <c r="A190" s="42" t="s">
        <v>138</v>
      </c>
      <c r="B190" s="43" t="str">
        <f t="shared" ref="B190:N190" si="274">+IFERROR(B189/A189-1,"nm")</f>
        <v>nm</v>
      </c>
      <c r="C190" s="43">
        <f t="shared" si="274"/>
        <v>-0.0580270793</v>
      </c>
      <c r="D190" s="43">
        <f t="shared" si="274"/>
        <v>-0.0205338809</v>
      </c>
      <c r="E190" s="43">
        <f t="shared" si="274"/>
        <v>-0.3501048218</v>
      </c>
      <c r="F190" s="43">
        <f t="shared" si="274"/>
        <v>-0.02258064516</v>
      </c>
      <c r="G190" s="43">
        <f t="shared" si="274"/>
        <v>-0.0198019802</v>
      </c>
      <c r="H190" s="43">
        <f t="shared" si="274"/>
        <v>0.8282828283</v>
      </c>
      <c r="I190" s="43">
        <f t="shared" si="274"/>
        <v>0.2320441989</v>
      </c>
      <c r="J190" s="44">
        <f t="shared" si="274"/>
        <v>0.2061378695</v>
      </c>
      <c r="K190" s="44">
        <f t="shared" si="274"/>
        <v>0.1</v>
      </c>
      <c r="L190" s="44">
        <f t="shared" si="274"/>
        <v>0.1</v>
      </c>
      <c r="M190" s="44">
        <f t="shared" si="274"/>
        <v>0.1</v>
      </c>
      <c r="N190" s="44">
        <f t="shared" si="274"/>
        <v>0.1</v>
      </c>
    </row>
    <row r="191" ht="15.75" customHeight="1">
      <c r="A191" s="42" t="s">
        <v>140</v>
      </c>
      <c r="B191" s="43">
        <f t="shared" ref="B191:I191" si="275">+IFERROR(B189/B$164,"nm")</f>
        <v>0.01798698814</v>
      </c>
      <c r="C191" s="43">
        <f t="shared" si="275"/>
        <v>0.01600184005</v>
      </c>
      <c r="D191" s="43">
        <f t="shared" si="275"/>
        <v>0.01483208955</v>
      </c>
      <c r="E191" s="43">
        <f t="shared" si="275"/>
        <v>0.008985507246</v>
      </c>
      <c r="F191" s="43">
        <f t="shared" si="275"/>
        <v>0.008127246392</v>
      </c>
      <c r="G191" s="43">
        <f t="shared" si="275"/>
        <v>0.00826147427</v>
      </c>
      <c r="H191" s="43">
        <f t="shared" si="275"/>
        <v>0.2462585034</v>
      </c>
      <c r="I191" s="43">
        <f t="shared" si="275"/>
        <v>0.2851662404</v>
      </c>
      <c r="J191" s="44">
        <f t="shared" ref="J191:N191" si="276">+IFERROR(J189/J$21,"nm")</f>
        <v>0.04219991353</v>
      </c>
      <c r="K191" s="44">
        <f t="shared" si="276"/>
        <v>0.04451531369</v>
      </c>
      <c r="L191" s="44">
        <f t="shared" si="276"/>
        <v>0.04691007365</v>
      </c>
      <c r="M191" s="44">
        <f t="shared" si="276"/>
        <v>0.04937697463</v>
      </c>
      <c r="N191" s="44">
        <f t="shared" si="276"/>
        <v>0.05190636696</v>
      </c>
    </row>
    <row r="192" ht="15.75" customHeight="1">
      <c r="A192" s="12" t="s">
        <v>144</v>
      </c>
      <c r="B192" s="12">
        <f>+Historicals!B166</f>
        <v>69</v>
      </c>
      <c r="C192" s="12">
        <f>+Historicals!C166</f>
        <v>39</v>
      </c>
      <c r="D192" s="12">
        <f>+Historicals!D166</f>
        <v>30</v>
      </c>
      <c r="E192" s="12">
        <f>+Historicals!E166</f>
        <v>22</v>
      </c>
      <c r="F192" s="12">
        <f>+Historicals!F166</f>
        <v>18</v>
      </c>
      <c r="G192" s="12">
        <f>+Historicals!G166</f>
        <v>12</v>
      </c>
      <c r="H192" s="12">
        <f>+Historicals!H166</f>
        <v>7</v>
      </c>
      <c r="I192" s="12">
        <f>+Historicals!I166</f>
        <v>9</v>
      </c>
      <c r="J192" s="8">
        <f t="shared" ref="J192:N192" si="277">+J164*J194</f>
        <v>10.06515345</v>
      </c>
      <c r="K192" s="8">
        <f t="shared" si="277"/>
        <v>11.0716688</v>
      </c>
      <c r="L192" s="8">
        <f t="shared" si="277"/>
        <v>12.17883568</v>
      </c>
      <c r="M192" s="8">
        <f t="shared" si="277"/>
        <v>13.39671925</v>
      </c>
      <c r="N192" s="8">
        <f t="shared" si="277"/>
        <v>14.73639117</v>
      </c>
    </row>
    <row r="193" ht="15.75" customHeight="1">
      <c r="A193" s="42" t="s">
        <v>138</v>
      </c>
      <c r="B193" s="43" t="str">
        <f t="shared" ref="B193:N193" si="278">+IFERROR(B192/A192-1,"nm")</f>
        <v>nm</v>
      </c>
      <c r="C193" s="43">
        <f t="shared" si="278"/>
        <v>-0.4347826087</v>
      </c>
      <c r="D193" s="43">
        <f t="shared" si="278"/>
        <v>-0.2307692308</v>
      </c>
      <c r="E193" s="43">
        <f t="shared" si="278"/>
        <v>-0.2666666667</v>
      </c>
      <c r="F193" s="43">
        <f t="shared" si="278"/>
        <v>-0.1818181818</v>
      </c>
      <c r="G193" s="43">
        <f t="shared" si="278"/>
        <v>-0.3333333333</v>
      </c>
      <c r="H193" s="43">
        <f t="shared" si="278"/>
        <v>-0.4166666667</v>
      </c>
      <c r="I193" s="43">
        <f t="shared" si="278"/>
        <v>0.2857142857</v>
      </c>
      <c r="J193" s="44">
        <f t="shared" si="278"/>
        <v>0.1183503836</v>
      </c>
      <c r="K193" s="44">
        <f t="shared" si="278"/>
        <v>0.1</v>
      </c>
      <c r="L193" s="44">
        <f t="shared" si="278"/>
        <v>0.1</v>
      </c>
      <c r="M193" s="44">
        <f t="shared" si="278"/>
        <v>0.1</v>
      </c>
      <c r="N193" s="44">
        <f t="shared" si="278"/>
        <v>0.1</v>
      </c>
    </row>
    <row r="194" ht="15.75" customHeight="1">
      <c r="A194" s="42" t="s">
        <v>142</v>
      </c>
      <c r="B194" s="43">
        <f t="shared" ref="B194:I194" si="279">+IFERROR(B192/B$164,"nm")</f>
        <v>0.00240058449</v>
      </c>
      <c r="C194" s="43">
        <f t="shared" si="279"/>
        <v>0.001281461523</v>
      </c>
      <c r="D194" s="43">
        <f t="shared" si="279"/>
        <v>0.0009328358209</v>
      </c>
      <c r="E194" s="43">
        <f t="shared" si="279"/>
        <v>0.0006376811594</v>
      </c>
      <c r="F194" s="43">
        <f t="shared" si="279"/>
        <v>0.0004828067164</v>
      </c>
      <c r="G194" s="43">
        <f t="shared" si="279"/>
        <v>0.0003337969402</v>
      </c>
      <c r="H194" s="43">
        <f t="shared" si="279"/>
        <v>0.003174603175</v>
      </c>
      <c r="I194" s="43">
        <f t="shared" si="279"/>
        <v>0.003836317136</v>
      </c>
      <c r="J194" s="44">
        <f t="shared" ref="J194:N194" si="280">+I194</f>
        <v>0.003836317136</v>
      </c>
      <c r="K194" s="44">
        <f t="shared" si="280"/>
        <v>0.003836317136</v>
      </c>
      <c r="L194" s="44">
        <f t="shared" si="280"/>
        <v>0.003836317136</v>
      </c>
      <c r="M194" s="44">
        <f t="shared" si="280"/>
        <v>0.003836317136</v>
      </c>
      <c r="N194" s="44">
        <f t="shared" si="280"/>
        <v>0.003836317136</v>
      </c>
    </row>
    <row r="195" ht="15.75" customHeight="1">
      <c r="A195" s="12" t="s">
        <v>145</v>
      </c>
      <c r="B195" s="12">
        <f>+Historicals!B155</f>
        <v>122</v>
      </c>
      <c r="C195" s="12">
        <f>+Historicals!C155</f>
        <v>125</v>
      </c>
      <c r="D195" s="12">
        <f>+Historicals!D155</f>
        <v>125</v>
      </c>
      <c r="E195" s="12">
        <f>+Historicals!E155</f>
        <v>115</v>
      </c>
      <c r="F195" s="12">
        <f>+Historicals!F155</f>
        <v>100</v>
      </c>
      <c r="G195" s="12">
        <f>+Historicals!G155</f>
        <v>80</v>
      </c>
      <c r="H195" s="53">
        <f>+Historicals!H155</f>
        <v>63</v>
      </c>
      <c r="I195" s="53">
        <f>+Historicals!I155</f>
        <v>49</v>
      </c>
      <c r="J195" s="8">
        <f t="shared" ref="J195:N195" si="281">+J164*J197</f>
        <v>131.1825</v>
      </c>
      <c r="K195" s="8">
        <f t="shared" si="281"/>
        <v>144.30075</v>
      </c>
      <c r="L195" s="8">
        <f t="shared" si="281"/>
        <v>158.730825</v>
      </c>
      <c r="M195" s="8">
        <f t="shared" si="281"/>
        <v>174.6039075</v>
      </c>
      <c r="N195" s="8">
        <f t="shared" si="281"/>
        <v>192.0642983</v>
      </c>
    </row>
    <row r="196" ht="15.75" customHeight="1">
      <c r="A196" s="42" t="s">
        <v>138</v>
      </c>
      <c r="B196" s="43" t="str">
        <f t="shared" ref="B196:I196" si="282">+IFERROR(B195/A195-1,"nm")</f>
        <v>nm</v>
      </c>
      <c r="C196" s="43">
        <f t="shared" si="282"/>
        <v>0.02459016393</v>
      </c>
      <c r="D196" s="43">
        <f t="shared" si="282"/>
        <v>0</v>
      </c>
      <c r="E196" s="43">
        <f t="shared" si="282"/>
        <v>-0.08</v>
      </c>
      <c r="F196" s="43">
        <f t="shared" si="282"/>
        <v>-0.1304347826</v>
      </c>
      <c r="G196" s="43">
        <f t="shared" si="282"/>
        <v>-0.2</v>
      </c>
      <c r="H196" s="51">
        <f t="shared" si="282"/>
        <v>-0.2125</v>
      </c>
      <c r="I196" s="51">
        <f t="shared" si="282"/>
        <v>-0.2222222222</v>
      </c>
      <c r="J196" s="44">
        <f t="shared" ref="J196:N196" si="283">+J197+J198</f>
        <v>0.05</v>
      </c>
      <c r="K196" s="44">
        <f t="shared" si="283"/>
        <v>0.05</v>
      </c>
      <c r="L196" s="44">
        <f t="shared" si="283"/>
        <v>0.05</v>
      </c>
      <c r="M196" s="44">
        <f t="shared" si="283"/>
        <v>0.05</v>
      </c>
      <c r="N196" s="44">
        <f t="shared" si="283"/>
        <v>0.05</v>
      </c>
    </row>
    <row r="197" ht="15.75" customHeight="1">
      <c r="A197" s="42" t="s">
        <v>142</v>
      </c>
      <c r="B197" s="43">
        <f t="shared" ref="B197:I197" si="284">+IFERROR(B195/B$164,"nm")</f>
        <v>0.004244511707</v>
      </c>
      <c r="C197" s="43">
        <f t="shared" si="284"/>
        <v>0.004107248472</v>
      </c>
      <c r="D197" s="43">
        <f t="shared" si="284"/>
        <v>0.00388681592</v>
      </c>
      <c r="E197" s="43">
        <f t="shared" si="284"/>
        <v>0.003333333333</v>
      </c>
      <c r="F197" s="43">
        <f t="shared" si="284"/>
        <v>0.002682259535</v>
      </c>
      <c r="G197" s="43">
        <f t="shared" si="284"/>
        <v>0.002225312935</v>
      </c>
      <c r="H197" s="51">
        <f t="shared" si="284"/>
        <v>0.02857142857</v>
      </c>
      <c r="I197" s="51">
        <f t="shared" si="284"/>
        <v>0.02088661552</v>
      </c>
      <c r="J197" s="44">
        <v>0.05</v>
      </c>
      <c r="K197" s="44">
        <f t="shared" ref="K197:N197" si="285">+J197</f>
        <v>0.05</v>
      </c>
      <c r="L197" s="44">
        <f t="shared" si="285"/>
        <v>0.05</v>
      </c>
      <c r="M197" s="44">
        <f t="shared" si="285"/>
        <v>0.05</v>
      </c>
      <c r="N197" s="44">
        <f t="shared" si="285"/>
        <v>0.05</v>
      </c>
    </row>
    <row r="198" ht="15.75" customHeight="1">
      <c r="A198" s="42" t="s">
        <v>164</v>
      </c>
    </row>
    <row r="199" ht="15.75" customHeight="1">
      <c r="A199" s="49" t="s">
        <v>150</v>
      </c>
      <c r="B199" s="49">
        <f>+Historicals!B134</f>
        <v>-82</v>
      </c>
      <c r="C199" s="49">
        <f>+Historicals!C134</f>
        <v>-86</v>
      </c>
      <c r="D199" s="49">
        <f>+Historicals!D134</f>
        <v>75</v>
      </c>
      <c r="E199" s="49">
        <f>+Historicals!E134</f>
        <v>26</v>
      </c>
      <c r="F199" s="49">
        <f>+Historicals!F134</f>
        <v>-7</v>
      </c>
      <c r="G199" s="49">
        <f>+Historicals!G134</f>
        <v>-11</v>
      </c>
      <c r="H199" s="49">
        <f>+Historicals!H134</f>
        <v>40</v>
      </c>
      <c r="I199" s="49">
        <f>+Historicals!I134</f>
        <v>-72</v>
      </c>
      <c r="J199" s="8">
        <f t="shared" ref="J199:N199" si="286">I199*(1+J123)</f>
        <v>-72</v>
      </c>
      <c r="K199" s="8">
        <f t="shared" si="286"/>
        <v>-72</v>
      </c>
      <c r="L199" s="8">
        <f t="shared" si="286"/>
        <v>-72</v>
      </c>
      <c r="M199" s="8">
        <f t="shared" si="286"/>
        <v>-72</v>
      </c>
      <c r="N199" s="8">
        <f t="shared" si="286"/>
        <v>-72</v>
      </c>
    </row>
    <row r="200" ht="15.75" customHeight="1">
      <c r="A200" s="50" t="s">
        <v>151</v>
      </c>
      <c r="B200" s="51" t="str">
        <f>+IFERROR(B199/A199-1,"nm")</f>
        <v>nm</v>
      </c>
      <c r="C200" s="51">
        <f>+IFERROR(C199/B199-1,"nm")%</f>
        <v>0.000487804878</v>
      </c>
      <c r="D200" s="51">
        <f t="shared" ref="D200:N200" si="287">+IFERROR(D199/C199-1,"nm")</f>
        <v>-1.872093023</v>
      </c>
      <c r="E200" s="51">
        <f t="shared" si="287"/>
        <v>-0.6533333333</v>
      </c>
      <c r="F200" s="51">
        <f t="shared" si="287"/>
        <v>-1.269230769</v>
      </c>
      <c r="G200" s="51">
        <f t="shared" si="287"/>
        <v>0.5714285714</v>
      </c>
      <c r="H200" s="51">
        <f t="shared" si="287"/>
        <v>-4.636363636</v>
      </c>
      <c r="I200" s="51">
        <f t="shared" si="287"/>
        <v>-2.8</v>
      </c>
      <c r="J200" s="44">
        <f t="shared" si="287"/>
        <v>0</v>
      </c>
      <c r="K200" s="44">
        <f t="shared" si="287"/>
        <v>0</v>
      </c>
      <c r="L200" s="44">
        <f t="shared" si="287"/>
        <v>0</v>
      </c>
      <c r="M200" s="44">
        <f t="shared" si="287"/>
        <v>0</v>
      </c>
      <c r="N200" s="44">
        <f t="shared" si="287"/>
        <v>0</v>
      </c>
    </row>
    <row r="201" ht="15.75" customHeight="1">
      <c r="A201" s="49" t="s">
        <v>157</v>
      </c>
      <c r="B201" s="49">
        <f t="shared" ref="B201:I201" si="288">B208+B204</f>
        <v>-1022</v>
      </c>
      <c r="C201" s="49">
        <f t="shared" si="288"/>
        <v>-1089</v>
      </c>
      <c r="D201" s="49">
        <f t="shared" si="288"/>
        <v>-640</v>
      </c>
      <c r="E201" s="49">
        <f t="shared" si="288"/>
        <v>-1346</v>
      </c>
      <c r="F201" s="49">
        <f t="shared" si="288"/>
        <v>-1694</v>
      </c>
      <c r="G201" s="49">
        <f t="shared" si="288"/>
        <v>-1855</v>
      </c>
      <c r="H201" s="49">
        <f t="shared" si="288"/>
        <v>-2120</v>
      </c>
      <c r="I201" s="49">
        <f t="shared" si="288"/>
        <v>-2085</v>
      </c>
      <c r="J201" s="8">
        <f t="shared" ref="J201:N201" si="289">+J199*J203</f>
        <v>-2085</v>
      </c>
      <c r="K201" s="8">
        <f t="shared" si="289"/>
        <v>-2085</v>
      </c>
      <c r="L201" s="8">
        <f t="shared" si="289"/>
        <v>-2085</v>
      </c>
      <c r="M201" s="8">
        <f t="shared" si="289"/>
        <v>-2085</v>
      </c>
      <c r="N201" s="8">
        <f t="shared" si="289"/>
        <v>-2085</v>
      </c>
    </row>
    <row r="202" ht="15.75" customHeight="1">
      <c r="A202" s="50" t="s">
        <v>151</v>
      </c>
      <c r="B202" s="51" t="str">
        <f>+IFERROR(B201/A201-1,"nm")</f>
        <v>nm</v>
      </c>
      <c r="C202" s="51">
        <f>+IFERROR(B201/C201-1,"nm")</f>
        <v>-0.06152433425</v>
      </c>
      <c r="D202" s="51">
        <f t="shared" ref="D202:N202" si="290">+IFERROR(D201/C201-1,"nm")</f>
        <v>-0.4123048669</v>
      </c>
      <c r="E202" s="51">
        <f t="shared" si="290"/>
        <v>1.103125</v>
      </c>
      <c r="F202" s="51">
        <f t="shared" si="290"/>
        <v>0.2585438336</v>
      </c>
      <c r="G202" s="51">
        <f t="shared" si="290"/>
        <v>0.09504132231</v>
      </c>
      <c r="H202" s="51">
        <f t="shared" si="290"/>
        <v>0.1428571429</v>
      </c>
      <c r="I202" s="51">
        <f t="shared" si="290"/>
        <v>-0.01650943396</v>
      </c>
      <c r="J202" s="44">
        <f t="shared" si="290"/>
        <v>0</v>
      </c>
      <c r="K202" s="44">
        <f t="shared" si="290"/>
        <v>0</v>
      </c>
      <c r="L202" s="44">
        <f t="shared" si="290"/>
        <v>0</v>
      </c>
      <c r="M202" s="44">
        <f t="shared" si="290"/>
        <v>0</v>
      </c>
      <c r="N202" s="44">
        <f t="shared" si="290"/>
        <v>0</v>
      </c>
    </row>
    <row r="203" ht="15.75" customHeight="1">
      <c r="A203" s="50" t="s">
        <v>158</v>
      </c>
      <c r="B203" s="51">
        <f t="shared" ref="B203:I203" si="291">+IFERROR(B201/B$199,"nm")</f>
        <v>12.46341463</v>
      </c>
      <c r="C203" s="51">
        <f t="shared" si="291"/>
        <v>12.6627907</v>
      </c>
      <c r="D203" s="51">
        <f t="shared" si="291"/>
        <v>-8.533333333</v>
      </c>
      <c r="E203" s="51">
        <f t="shared" si="291"/>
        <v>-51.76923077</v>
      </c>
      <c r="F203" s="51">
        <f t="shared" si="291"/>
        <v>242</v>
      </c>
      <c r="G203" s="51">
        <f t="shared" si="291"/>
        <v>168.6363636</v>
      </c>
      <c r="H203" s="51">
        <f t="shared" si="291"/>
        <v>-53</v>
      </c>
      <c r="I203" s="51">
        <f t="shared" si="291"/>
        <v>28.95833333</v>
      </c>
      <c r="J203" s="44">
        <f t="shared" ref="J203:N203" si="292">+I203</f>
        <v>28.95833333</v>
      </c>
      <c r="K203" s="44">
        <f t="shared" si="292"/>
        <v>28.95833333</v>
      </c>
      <c r="L203" s="44">
        <f t="shared" si="292"/>
        <v>28.95833333</v>
      </c>
      <c r="M203" s="44">
        <f t="shared" si="292"/>
        <v>28.95833333</v>
      </c>
      <c r="N203" s="44">
        <f t="shared" si="292"/>
        <v>28.95833333</v>
      </c>
    </row>
    <row r="204" ht="15.75" customHeight="1">
      <c r="A204" s="49" t="s">
        <v>159</v>
      </c>
      <c r="B204" s="49">
        <f>+Historicals!B178</f>
        <v>75</v>
      </c>
      <c r="C204" s="49">
        <f>+Historicals!C178</f>
        <v>84</v>
      </c>
      <c r="D204" s="49">
        <f>+Historicals!C178</f>
        <v>84</v>
      </c>
      <c r="E204" s="49">
        <f>+Historicals!E178</f>
        <v>110</v>
      </c>
      <c r="F204" s="49">
        <f>+Historicals!F178</f>
        <v>116</v>
      </c>
      <c r="G204" s="49">
        <f>+Historicals!G178</f>
        <v>112</v>
      </c>
      <c r="H204" s="49">
        <f>+Historicals!H178</f>
        <v>141</v>
      </c>
      <c r="I204" s="49">
        <f>+Historicals!I178</f>
        <v>134</v>
      </c>
      <c r="J204" s="8">
        <f t="shared" ref="J204:N204" si="293">+J207*J214</f>
        <v>134</v>
      </c>
      <c r="K204" s="8">
        <f t="shared" si="293"/>
        <v>134</v>
      </c>
      <c r="L204" s="8">
        <f t="shared" si="293"/>
        <v>134</v>
      </c>
      <c r="M204" s="8">
        <f t="shared" si="293"/>
        <v>134</v>
      </c>
      <c r="N204" s="8">
        <f t="shared" si="293"/>
        <v>134</v>
      </c>
    </row>
    <row r="205" ht="15.75" customHeight="1">
      <c r="A205" s="50" t="s">
        <v>151</v>
      </c>
      <c r="B205" s="51" t="str">
        <f t="shared" ref="B205:N205" si="294">+IFERROR(B204/A204-1,"nm")</f>
        <v>nm</v>
      </c>
      <c r="C205" s="51">
        <f t="shared" si="294"/>
        <v>0.12</v>
      </c>
      <c r="D205" s="51">
        <f t="shared" si="294"/>
        <v>0</v>
      </c>
      <c r="E205" s="51">
        <f t="shared" si="294"/>
        <v>0.3095238095</v>
      </c>
      <c r="F205" s="51">
        <f t="shared" si="294"/>
        <v>0.05454545455</v>
      </c>
      <c r="G205" s="51">
        <f t="shared" si="294"/>
        <v>-0.03448275862</v>
      </c>
      <c r="H205" s="51">
        <f t="shared" si="294"/>
        <v>0.2589285714</v>
      </c>
      <c r="I205" s="51">
        <f t="shared" si="294"/>
        <v>-0.04964539007</v>
      </c>
      <c r="J205" s="44">
        <f t="shared" si="294"/>
        <v>0</v>
      </c>
      <c r="K205" s="44">
        <f t="shared" si="294"/>
        <v>0</v>
      </c>
      <c r="L205" s="44">
        <f t="shared" si="294"/>
        <v>0</v>
      </c>
      <c r="M205" s="44">
        <f t="shared" si="294"/>
        <v>0</v>
      </c>
      <c r="N205" s="44">
        <f t="shared" si="294"/>
        <v>0</v>
      </c>
    </row>
    <row r="206" ht="15.75" customHeight="1">
      <c r="A206" s="50" t="s">
        <v>160</v>
      </c>
      <c r="B206" s="51">
        <f t="shared" ref="B206:I206" si="295">+IFERROR(B204/B$199,"nm")</f>
        <v>-0.9146341463</v>
      </c>
      <c r="C206" s="51">
        <f t="shared" si="295"/>
        <v>-0.976744186</v>
      </c>
      <c r="D206" s="51">
        <f t="shared" si="295"/>
        <v>1.12</v>
      </c>
      <c r="E206" s="51">
        <f t="shared" si="295"/>
        <v>4.230769231</v>
      </c>
      <c r="F206" s="51">
        <f t="shared" si="295"/>
        <v>-16.57142857</v>
      </c>
      <c r="G206" s="51">
        <f t="shared" si="295"/>
        <v>-10.18181818</v>
      </c>
      <c r="H206" s="51">
        <f t="shared" si="295"/>
        <v>3.525</v>
      </c>
      <c r="I206" s="51">
        <f t="shared" si="295"/>
        <v>-1.861111111</v>
      </c>
      <c r="J206" s="44">
        <f t="shared" ref="J206:N206" si="296">+IFERROR(J204/J$21,"nm")</f>
        <v>0.007007987013</v>
      </c>
      <c r="K206" s="44">
        <f t="shared" si="296"/>
        <v>0.006720451948</v>
      </c>
      <c r="L206" s="44">
        <f t="shared" si="296"/>
        <v>0.006438170469</v>
      </c>
      <c r="M206" s="44">
        <f t="shared" si="296"/>
        <v>0.006160672872</v>
      </c>
      <c r="N206" s="44">
        <f t="shared" si="296"/>
        <v>0.005887509479</v>
      </c>
    </row>
    <row r="207" ht="15.75" customHeight="1">
      <c r="A207" s="50" t="s">
        <v>149</v>
      </c>
      <c r="B207" s="51">
        <f t="shared" ref="B207:I207" si="297">+IFERROR(B204/B214,"nm")</f>
        <v>0.1051893408</v>
      </c>
      <c r="C207" s="51">
        <f t="shared" si="297"/>
        <v>0.08964781217</v>
      </c>
      <c r="D207" s="51">
        <f t="shared" si="297"/>
        <v>0.06785137318</v>
      </c>
      <c r="E207" s="51">
        <f t="shared" si="297"/>
        <v>0.07586206897</v>
      </c>
      <c r="F207" s="51">
        <f t="shared" si="297"/>
        <v>0.06933652122</v>
      </c>
      <c r="G207" s="51">
        <f t="shared" si="297"/>
        <v>0.05845511482</v>
      </c>
      <c r="H207" s="51">
        <f t="shared" si="297"/>
        <v>0.07540106952</v>
      </c>
      <c r="I207" s="51">
        <f t="shared" si="297"/>
        <v>0.07374793616</v>
      </c>
      <c r="J207" s="44">
        <f t="shared" ref="J207:N207" si="298">+I207</f>
        <v>0.07374793616</v>
      </c>
      <c r="K207" s="44">
        <f t="shared" si="298"/>
        <v>0.07374793616</v>
      </c>
      <c r="L207" s="44">
        <f t="shared" si="298"/>
        <v>0.07374793616</v>
      </c>
      <c r="M207" s="44">
        <f t="shared" si="298"/>
        <v>0.07374793616</v>
      </c>
      <c r="N207" s="44">
        <f t="shared" si="298"/>
        <v>0.07374793616</v>
      </c>
    </row>
    <row r="208" ht="15.75" customHeight="1">
      <c r="A208" s="49" t="s">
        <v>161</v>
      </c>
      <c r="B208" s="49">
        <f>+Historicals!B145</f>
        <v>-1097</v>
      </c>
      <c r="C208" s="49">
        <f>+Historicals!C145</f>
        <v>-1173</v>
      </c>
      <c r="D208" s="49">
        <f>+Historicals!D145</f>
        <v>-724</v>
      </c>
      <c r="E208" s="49">
        <f>+Historicals!E145</f>
        <v>-1456</v>
      </c>
      <c r="F208" s="49">
        <f>+Historicals!F145</f>
        <v>-1810</v>
      </c>
      <c r="G208" s="49">
        <f>+Historicals!G145</f>
        <v>-1967</v>
      </c>
      <c r="H208" s="49">
        <f>+Historicals!H145</f>
        <v>-2261</v>
      </c>
      <c r="I208" s="49">
        <f>+Historicals!I145</f>
        <v>-2219</v>
      </c>
      <c r="J208" s="8">
        <f t="shared" ref="J208:N208" si="299">+J201+J204</f>
        <v>-1951</v>
      </c>
      <c r="K208" s="8">
        <f t="shared" si="299"/>
        <v>-1951</v>
      </c>
      <c r="L208" s="8">
        <f t="shared" si="299"/>
        <v>-1951</v>
      </c>
      <c r="M208" s="8">
        <f t="shared" si="299"/>
        <v>-1951</v>
      </c>
      <c r="N208" s="8">
        <f t="shared" si="299"/>
        <v>-1951</v>
      </c>
    </row>
    <row r="209" ht="15.75" customHeight="1">
      <c r="A209" s="50" t="s">
        <v>151</v>
      </c>
      <c r="B209" s="51" t="str">
        <f t="shared" ref="B209:N209" si="300">+IFERROR(B208/A208-1,"nm")</f>
        <v>nm</v>
      </c>
      <c r="C209" s="51">
        <f t="shared" si="300"/>
        <v>0.06927985415</v>
      </c>
      <c r="D209" s="51">
        <f t="shared" si="300"/>
        <v>-0.3827791986</v>
      </c>
      <c r="E209" s="51">
        <f t="shared" si="300"/>
        <v>1.011049724</v>
      </c>
      <c r="F209" s="51">
        <f t="shared" si="300"/>
        <v>0.2431318681</v>
      </c>
      <c r="G209" s="51">
        <f t="shared" si="300"/>
        <v>0.08674033149</v>
      </c>
      <c r="H209" s="51">
        <f t="shared" si="300"/>
        <v>0.1494661922</v>
      </c>
      <c r="I209" s="51">
        <f t="shared" si="300"/>
        <v>-0.01857585139</v>
      </c>
      <c r="J209" s="44">
        <f t="shared" si="300"/>
        <v>-0.1207751239</v>
      </c>
      <c r="K209" s="44">
        <f t="shared" si="300"/>
        <v>0</v>
      </c>
      <c r="L209" s="44">
        <f t="shared" si="300"/>
        <v>0</v>
      </c>
      <c r="M209" s="44">
        <f t="shared" si="300"/>
        <v>0</v>
      </c>
      <c r="N209" s="44">
        <f t="shared" si="300"/>
        <v>0</v>
      </c>
    </row>
    <row r="210" ht="15.75" customHeight="1">
      <c r="A210" s="50" t="s">
        <v>158</v>
      </c>
      <c r="B210" s="51">
        <f t="shared" ref="B210:I210" si="301">+IFERROR(B208/B$199,"nm")</f>
        <v>13.37804878</v>
      </c>
      <c r="C210" s="51">
        <f t="shared" si="301"/>
        <v>13.63953488</v>
      </c>
      <c r="D210" s="51">
        <f t="shared" si="301"/>
        <v>-9.653333333</v>
      </c>
      <c r="E210" s="51">
        <f t="shared" si="301"/>
        <v>-56</v>
      </c>
      <c r="F210" s="51">
        <f t="shared" si="301"/>
        <v>258.5714286</v>
      </c>
      <c r="G210" s="51">
        <f t="shared" si="301"/>
        <v>178.8181818</v>
      </c>
      <c r="H210" s="51">
        <f t="shared" si="301"/>
        <v>-56.525</v>
      </c>
      <c r="I210" s="51">
        <f t="shared" si="301"/>
        <v>30.81944444</v>
      </c>
      <c r="J210" s="44">
        <f t="shared" ref="J210:N210" si="302">+IFERROR(J208/J$21,"nm")</f>
        <v>-0.102034199</v>
      </c>
      <c r="K210" s="44">
        <f t="shared" si="302"/>
        <v>-0.09784777426</v>
      </c>
      <c r="L210" s="44">
        <f t="shared" si="302"/>
        <v>-0.09373784019</v>
      </c>
      <c r="M210" s="44">
        <f t="shared" si="302"/>
        <v>-0.089697558</v>
      </c>
      <c r="N210" s="44">
        <f t="shared" si="302"/>
        <v>-0.08572038055</v>
      </c>
    </row>
    <row r="211" ht="15.75" customHeight="1">
      <c r="A211" s="49" t="s">
        <v>162</v>
      </c>
      <c r="B211" s="49">
        <f>+Historicals!B167</f>
        <v>104</v>
      </c>
      <c r="C211" s="49">
        <f>+Historicals!C167</f>
        <v>264</v>
      </c>
      <c r="D211" s="49">
        <f>+Historicals!D167</f>
        <v>291</v>
      </c>
      <c r="E211" s="49">
        <f>+Historicals!E167</f>
        <v>159</v>
      </c>
      <c r="F211" s="49">
        <f>+Historicals!F167</f>
        <v>377</v>
      </c>
      <c r="G211" s="49">
        <f>+Historicals!G167</f>
        <v>318</v>
      </c>
      <c r="H211" s="49">
        <f>+Historicals!H167</f>
        <v>11</v>
      </c>
      <c r="I211" s="49">
        <f>+Historicals!I167</f>
        <v>50</v>
      </c>
      <c r="J211" s="8">
        <f t="shared" ref="J211:N211" si="303">+J199*J213</f>
        <v>50</v>
      </c>
      <c r="K211" s="8">
        <f t="shared" si="303"/>
        <v>50</v>
      </c>
      <c r="L211" s="8">
        <f t="shared" si="303"/>
        <v>50</v>
      </c>
      <c r="M211" s="8">
        <f t="shared" si="303"/>
        <v>50</v>
      </c>
      <c r="N211" s="8">
        <f t="shared" si="303"/>
        <v>50</v>
      </c>
    </row>
    <row r="212" ht="15.75" customHeight="1">
      <c r="A212" s="50" t="s">
        <v>151</v>
      </c>
      <c r="B212" s="51" t="str">
        <f t="shared" ref="B212:I212" si="304">+IFERROR(B211/A211-1,"nm")</f>
        <v>nm</v>
      </c>
      <c r="C212" s="51">
        <f t="shared" si="304"/>
        <v>1.538461538</v>
      </c>
      <c r="D212" s="51">
        <f t="shared" si="304"/>
        <v>0.1022727273</v>
      </c>
      <c r="E212" s="51">
        <f t="shared" si="304"/>
        <v>-0.4536082474</v>
      </c>
      <c r="F212" s="51">
        <f t="shared" si="304"/>
        <v>1.371069182</v>
      </c>
      <c r="G212" s="51">
        <f t="shared" si="304"/>
        <v>-0.1564986737</v>
      </c>
      <c r="H212" s="51">
        <f t="shared" si="304"/>
        <v>-0.965408805</v>
      </c>
      <c r="I212" s="51">
        <f t="shared" si="304"/>
        <v>3.545454545</v>
      </c>
      <c r="J212" s="44">
        <v>0.0</v>
      </c>
      <c r="K212" s="44">
        <f t="shared" ref="K212:N212" si="305">+IFERROR(K211/J211-1,"nm")</f>
        <v>0</v>
      </c>
      <c r="L212" s="44">
        <f t="shared" si="305"/>
        <v>0</v>
      </c>
      <c r="M212" s="44">
        <f t="shared" si="305"/>
        <v>0</v>
      </c>
      <c r="N212" s="44">
        <f t="shared" si="305"/>
        <v>0</v>
      </c>
    </row>
    <row r="213" ht="15.75" customHeight="1">
      <c r="A213" s="50" t="s">
        <v>160</v>
      </c>
      <c r="B213" s="51">
        <f t="shared" ref="B213:I213" si="306">+IFERROR(B211/B$199,"nm")</f>
        <v>-1.268292683</v>
      </c>
      <c r="C213" s="51">
        <f t="shared" si="306"/>
        <v>-3.069767442</v>
      </c>
      <c r="D213" s="51">
        <f t="shared" si="306"/>
        <v>3.88</v>
      </c>
      <c r="E213" s="51">
        <f t="shared" si="306"/>
        <v>6.115384615</v>
      </c>
      <c r="F213" s="51">
        <f t="shared" si="306"/>
        <v>-53.85714286</v>
      </c>
      <c r="G213" s="51">
        <f t="shared" si="306"/>
        <v>-28.90909091</v>
      </c>
      <c r="H213" s="51">
        <f t="shared" si="306"/>
        <v>0.275</v>
      </c>
      <c r="I213" s="51">
        <f t="shared" si="306"/>
        <v>-0.6944444444</v>
      </c>
      <c r="J213" s="44">
        <f t="shared" ref="J213:N213" si="307">+I213</f>
        <v>-0.6944444444</v>
      </c>
      <c r="K213" s="44">
        <f t="shared" si="307"/>
        <v>-0.6944444444</v>
      </c>
      <c r="L213" s="44">
        <f t="shared" si="307"/>
        <v>-0.6944444444</v>
      </c>
      <c r="M213" s="44">
        <f t="shared" si="307"/>
        <v>-0.6944444444</v>
      </c>
      <c r="N213" s="44">
        <f t="shared" si="307"/>
        <v>-0.6944444444</v>
      </c>
    </row>
    <row r="214" ht="15.75" customHeight="1">
      <c r="A214" s="8" t="s">
        <v>145</v>
      </c>
      <c r="B214" s="8">
        <f>+Historicals!B156</f>
        <v>713</v>
      </c>
      <c r="C214" s="8">
        <f>+Historicals!C156</f>
        <v>937</v>
      </c>
      <c r="D214" s="8">
        <f>+Historicals!D156</f>
        <v>1238</v>
      </c>
      <c r="E214" s="8">
        <f>+Historicals!E156</f>
        <v>1450</v>
      </c>
      <c r="F214" s="8">
        <f>+Historicals!F156</f>
        <v>1673</v>
      </c>
      <c r="G214" s="8">
        <f>+Historicals!G156</f>
        <v>1916</v>
      </c>
      <c r="H214" s="55">
        <f>+Historicals!H156</f>
        <v>1870</v>
      </c>
      <c r="I214" s="55">
        <f>+Historicals!I156</f>
        <v>1817</v>
      </c>
      <c r="J214" s="8">
        <f t="shared" ref="J214:N214" si="308">+J199*J216</f>
        <v>1817</v>
      </c>
      <c r="K214" s="8">
        <f t="shared" si="308"/>
        <v>1817</v>
      </c>
      <c r="L214" s="8">
        <f t="shared" si="308"/>
        <v>1817</v>
      </c>
      <c r="M214" s="8">
        <f t="shared" si="308"/>
        <v>1817</v>
      </c>
      <c r="N214" s="8">
        <f t="shared" si="308"/>
        <v>1817</v>
      </c>
    </row>
    <row r="215" ht="15.75" customHeight="1">
      <c r="A215" s="8" t="s">
        <v>138</v>
      </c>
      <c r="B215" s="44" t="str">
        <f t="shared" ref="B215:I215" si="309">+IFERROR(B214/A214-1,"nm")</f>
        <v>nm</v>
      </c>
      <c r="C215" s="44">
        <f t="shared" si="309"/>
        <v>0.3141654979</v>
      </c>
      <c r="D215" s="44">
        <f t="shared" si="309"/>
        <v>0.3212379936</v>
      </c>
      <c r="E215" s="44">
        <f t="shared" si="309"/>
        <v>0.1712439418</v>
      </c>
      <c r="F215" s="44">
        <f t="shared" si="309"/>
        <v>0.1537931034</v>
      </c>
      <c r="G215" s="44">
        <f t="shared" si="309"/>
        <v>0.1452480574</v>
      </c>
      <c r="H215" s="44">
        <f t="shared" si="309"/>
        <v>-0.02400835073</v>
      </c>
      <c r="I215" s="44">
        <f t="shared" si="309"/>
        <v>-0.02834224599</v>
      </c>
      <c r="J215" s="44">
        <f t="shared" ref="J215:N215" si="310">+J216+J217</f>
        <v>-25.23611111</v>
      </c>
      <c r="K215" s="44">
        <f t="shared" si="310"/>
        <v>-25.23611111</v>
      </c>
      <c r="L215" s="44">
        <f t="shared" si="310"/>
        <v>-25.23611111</v>
      </c>
      <c r="M215" s="44">
        <f t="shared" si="310"/>
        <v>-25.23611111</v>
      </c>
      <c r="N215" s="44">
        <f t="shared" si="310"/>
        <v>-25.23611111</v>
      </c>
    </row>
    <row r="216" ht="15.75" customHeight="1">
      <c r="A216" s="8" t="s">
        <v>142</v>
      </c>
      <c r="B216" s="44">
        <f t="shared" ref="B216:I216" si="311">+IFERROR(B214/B$199,"nm")</f>
        <v>-8.695121951</v>
      </c>
      <c r="C216" s="44">
        <f t="shared" si="311"/>
        <v>-10.89534884</v>
      </c>
      <c r="D216" s="44">
        <f t="shared" si="311"/>
        <v>16.50666667</v>
      </c>
      <c r="E216" s="44">
        <f t="shared" si="311"/>
        <v>55.76923077</v>
      </c>
      <c r="F216" s="44">
        <f t="shared" si="311"/>
        <v>-239</v>
      </c>
      <c r="G216" s="44">
        <f t="shared" si="311"/>
        <v>-174.1818182</v>
      </c>
      <c r="H216" s="44">
        <f t="shared" si="311"/>
        <v>46.75</v>
      </c>
      <c r="I216" s="44">
        <f t="shared" si="311"/>
        <v>-25.23611111</v>
      </c>
      <c r="J216" s="44">
        <f t="shared" ref="J216:N216" si="312">+I216</f>
        <v>-25.23611111</v>
      </c>
      <c r="K216" s="44">
        <f t="shared" si="312"/>
        <v>-25.23611111</v>
      </c>
      <c r="L216" s="44">
        <f t="shared" si="312"/>
        <v>-25.23611111</v>
      </c>
      <c r="M216" s="44">
        <f t="shared" si="312"/>
        <v>-25.23611111</v>
      </c>
      <c r="N216" s="44">
        <f t="shared" si="312"/>
        <v>-25.23611111</v>
      </c>
    </row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48.86"/>
    <col customWidth="1" min="2" max="14" width="11.86"/>
    <col customWidth="1" min="15" max="15" width="39.86"/>
    <col customWidth="1" min="16" max="26" width="8.86"/>
  </cols>
  <sheetData>
    <row r="1" ht="60.0" customHeight="1">
      <c r="A1" s="56" t="s">
        <v>165</v>
      </c>
      <c r="B1" s="57">
        <f t="shared" ref="B1:H1" si="1">+C1-1</f>
        <v>2015</v>
      </c>
      <c r="C1" s="57">
        <f t="shared" si="1"/>
        <v>2016</v>
      </c>
      <c r="D1" s="57">
        <f t="shared" si="1"/>
        <v>2017</v>
      </c>
      <c r="E1" s="57">
        <f t="shared" si="1"/>
        <v>2018</v>
      </c>
      <c r="F1" s="57">
        <f t="shared" si="1"/>
        <v>2019</v>
      </c>
      <c r="G1" s="57">
        <f t="shared" si="1"/>
        <v>2020</v>
      </c>
      <c r="H1" s="57">
        <f t="shared" si="1"/>
        <v>2021</v>
      </c>
      <c r="I1" s="57">
        <v>2022.0</v>
      </c>
      <c r="J1" s="58">
        <f t="shared" ref="J1:N1" si="2">+I1+1</f>
        <v>2023</v>
      </c>
      <c r="K1" s="58">
        <f t="shared" si="2"/>
        <v>2024</v>
      </c>
      <c r="L1" s="58">
        <f t="shared" si="2"/>
        <v>2025</v>
      </c>
      <c r="M1" s="58">
        <f t="shared" si="2"/>
        <v>2026</v>
      </c>
      <c r="N1" s="58">
        <f t="shared" si="2"/>
        <v>2027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59" t="s">
        <v>166</v>
      </c>
      <c r="B2" s="60"/>
      <c r="C2" s="60"/>
      <c r="D2" s="60"/>
      <c r="E2" s="60"/>
      <c r="F2" s="60"/>
      <c r="G2" s="60"/>
      <c r="H2" s="60"/>
      <c r="I2" s="60"/>
      <c r="J2" s="61"/>
      <c r="K2" s="61"/>
      <c r="L2" s="61"/>
      <c r="M2" s="61"/>
      <c r="N2" s="6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62" t="s">
        <v>146</v>
      </c>
      <c r="B3" s="63">
        <f>Historicals!B2</f>
        <v>30601</v>
      </c>
      <c r="C3" s="63">
        <f>Historicals!C2</f>
        <v>32376</v>
      </c>
      <c r="D3" s="63">
        <f>Historicals!D2</f>
        <v>34350</v>
      </c>
      <c r="E3" s="63">
        <f>Historicals!E2</f>
        <v>36397</v>
      </c>
      <c r="F3" s="63">
        <f>Historicals!F2</f>
        <v>39117</v>
      </c>
      <c r="G3" s="63">
        <f>Historicals!G2</f>
        <v>37403</v>
      </c>
      <c r="H3" s="63">
        <f>Historicals!H2</f>
        <v>44538</v>
      </c>
      <c r="I3" s="63">
        <f>Historicals!I2</f>
        <v>46710</v>
      </c>
      <c r="J3" s="63"/>
      <c r="K3" s="63"/>
      <c r="L3" s="63"/>
      <c r="M3" s="63"/>
      <c r="N3" s="63"/>
      <c r="O3" s="2" t="s">
        <v>167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64" t="s">
        <v>138</v>
      </c>
      <c r="B4" s="65" t="str">
        <f t="shared" ref="B4:I4" si="3">+IFERROR(B3/A3-1,"nm")</f>
        <v>nm</v>
      </c>
      <c r="C4" s="65">
        <f t="shared" si="3"/>
        <v>0.05800464037</v>
      </c>
      <c r="D4" s="65">
        <f t="shared" si="3"/>
        <v>0.0609710897</v>
      </c>
      <c r="E4" s="65">
        <f t="shared" si="3"/>
        <v>0.05959243086</v>
      </c>
      <c r="F4" s="65">
        <f t="shared" si="3"/>
        <v>0.07473143391</v>
      </c>
      <c r="G4" s="65">
        <f t="shared" si="3"/>
        <v>-0.04381726615</v>
      </c>
      <c r="H4" s="65">
        <f t="shared" si="3"/>
        <v>0.1907600995</v>
      </c>
      <c r="I4" s="65">
        <f t="shared" si="3"/>
        <v>0.04876734474</v>
      </c>
      <c r="J4" s="65"/>
      <c r="K4" s="65"/>
      <c r="L4" s="65"/>
      <c r="M4" s="65"/>
      <c r="N4" s="6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62" t="s">
        <v>168</v>
      </c>
      <c r="B5" s="63">
        <f t="shared" ref="B5:I5" si="4">B6+B7</f>
        <v>4839</v>
      </c>
      <c r="C5" s="63">
        <f t="shared" si="4"/>
        <v>5291</v>
      </c>
      <c r="D5" s="63">
        <f t="shared" si="4"/>
        <v>5651</v>
      </c>
      <c r="E5" s="63">
        <f t="shared" si="4"/>
        <v>5126</v>
      </c>
      <c r="F5" s="63">
        <f t="shared" si="4"/>
        <v>5555</v>
      </c>
      <c r="G5" s="63">
        <f t="shared" si="4"/>
        <v>3697</v>
      </c>
      <c r="H5" s="63">
        <f t="shared" si="4"/>
        <v>7667</v>
      </c>
      <c r="I5" s="63">
        <f t="shared" si="4"/>
        <v>7573</v>
      </c>
      <c r="J5" s="63"/>
      <c r="K5" s="63"/>
      <c r="L5" s="63"/>
      <c r="M5" s="63"/>
      <c r="N5" s="6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63" t="s">
        <v>141</v>
      </c>
      <c r="B6" s="63">
        <f>Historicals!B66</f>
        <v>606</v>
      </c>
      <c r="C6" s="63">
        <f>Historicals!C66</f>
        <v>649</v>
      </c>
      <c r="D6" s="63">
        <f>Historicals!D66</f>
        <v>706</v>
      </c>
      <c r="E6" s="63">
        <f>Historicals!E66</f>
        <v>747</v>
      </c>
      <c r="F6" s="63">
        <f>Historicals!F66</f>
        <v>705</v>
      </c>
      <c r="G6" s="63">
        <f>Historicals!G66</f>
        <v>721</v>
      </c>
      <c r="H6" s="63">
        <f>Historicals!H66</f>
        <v>744</v>
      </c>
      <c r="I6" s="63">
        <f>Historicals!I66</f>
        <v>717</v>
      </c>
      <c r="J6" s="63"/>
      <c r="K6" s="63"/>
      <c r="L6" s="63"/>
      <c r="M6" s="63"/>
      <c r="N6" s="6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66" t="s">
        <v>143</v>
      </c>
      <c r="B7" s="67">
        <f>Historicals!B146</f>
        <v>4233</v>
      </c>
      <c r="C7" s="67">
        <f>Historicals!C146</f>
        <v>4642</v>
      </c>
      <c r="D7" s="67">
        <f>Historicals!D146</f>
        <v>4945</v>
      </c>
      <c r="E7" s="67">
        <f>Historicals!E146</f>
        <v>4379</v>
      </c>
      <c r="F7" s="67">
        <f>Historicals!F146</f>
        <v>4850</v>
      </c>
      <c r="G7" s="67">
        <f>Historicals!G146</f>
        <v>2976</v>
      </c>
      <c r="H7" s="67">
        <f>Historicals!H146</f>
        <v>6923</v>
      </c>
      <c r="I7" s="67">
        <f>Historicals!I146</f>
        <v>6856</v>
      </c>
      <c r="J7" s="67"/>
      <c r="K7" s="67"/>
      <c r="L7" s="67"/>
      <c r="M7" s="67"/>
      <c r="N7" s="6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64" t="s">
        <v>138</v>
      </c>
      <c r="B8" s="65" t="str">
        <f t="shared" ref="B8:I8" si="5">+IFERROR(B7/A7-1,"nm")</f>
        <v>nm</v>
      </c>
      <c r="C8" s="65">
        <f t="shared" si="5"/>
        <v>0.09662178124</v>
      </c>
      <c r="D8" s="65">
        <f t="shared" si="5"/>
        <v>0.06527358897</v>
      </c>
      <c r="E8" s="65">
        <f t="shared" si="5"/>
        <v>-0.1144590495</v>
      </c>
      <c r="F8" s="65">
        <f t="shared" si="5"/>
        <v>0.1075588034</v>
      </c>
      <c r="G8" s="65">
        <f t="shared" si="5"/>
        <v>-0.3863917526</v>
      </c>
      <c r="H8" s="65">
        <f t="shared" si="5"/>
        <v>1.326276882</v>
      </c>
      <c r="I8" s="65">
        <f t="shared" si="5"/>
        <v>-0.00967788531</v>
      </c>
      <c r="J8" s="65"/>
      <c r="K8" s="65"/>
      <c r="L8" s="65"/>
      <c r="M8" s="65"/>
      <c r="N8" s="65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64" t="s">
        <v>140</v>
      </c>
      <c r="B9" s="65">
        <f t="shared" ref="B9:I9" si="6">B7/B$3</f>
        <v>0.1383288128</v>
      </c>
      <c r="C9" s="65">
        <f t="shared" si="6"/>
        <v>0.1433778107</v>
      </c>
      <c r="D9" s="65">
        <f t="shared" si="6"/>
        <v>0.1439592431</v>
      </c>
      <c r="E9" s="65">
        <f t="shared" si="6"/>
        <v>0.1203121136</v>
      </c>
      <c r="F9" s="65">
        <f t="shared" si="6"/>
        <v>0.1239870133</v>
      </c>
      <c r="G9" s="65">
        <f t="shared" si="6"/>
        <v>0.07956581023</v>
      </c>
      <c r="H9" s="65">
        <f t="shared" si="6"/>
        <v>0.1554402982</v>
      </c>
      <c r="I9" s="65">
        <f t="shared" si="6"/>
        <v>0.1467779919</v>
      </c>
      <c r="J9" s="65"/>
      <c r="K9" s="65"/>
      <c r="L9" s="65"/>
      <c r="M9" s="65"/>
      <c r="N9" s="6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4" t="s">
        <v>11</v>
      </c>
      <c r="B10" s="63">
        <f>Historicals!B8</f>
        <v>28</v>
      </c>
      <c r="C10" s="63">
        <f>Historicals!C8</f>
        <v>19</v>
      </c>
      <c r="D10" s="63">
        <f>Historicals!D8</f>
        <v>59</v>
      </c>
      <c r="E10" s="63">
        <f>Historicals!E8</f>
        <v>54</v>
      </c>
      <c r="F10" s="63">
        <f>Historicals!F8</f>
        <v>49</v>
      </c>
      <c r="G10" s="63">
        <f>Historicals!G8</f>
        <v>89</v>
      </c>
      <c r="H10" s="63">
        <f>Historicals!H8</f>
        <v>262</v>
      </c>
      <c r="I10" s="63">
        <f>Historicals!I8</f>
        <v>205</v>
      </c>
      <c r="J10" s="63"/>
      <c r="K10" s="63"/>
      <c r="L10" s="63"/>
      <c r="M10" s="63"/>
      <c r="N10" s="6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66" t="s">
        <v>169</v>
      </c>
      <c r="B11" s="67">
        <f>Historicals!B10</f>
        <v>4205</v>
      </c>
      <c r="C11" s="67">
        <f>Historicals!C10</f>
        <v>4623</v>
      </c>
      <c r="D11" s="67">
        <f>Historicals!D10</f>
        <v>4886</v>
      </c>
      <c r="E11" s="67">
        <f>Historicals!E10</f>
        <v>4325</v>
      </c>
      <c r="F11" s="67">
        <f>Historicals!F10</f>
        <v>4801</v>
      </c>
      <c r="G11" s="67">
        <f>Historicals!G10</f>
        <v>2887</v>
      </c>
      <c r="H11" s="67">
        <f>Historicals!H10</f>
        <v>6661</v>
      </c>
      <c r="I11" s="67">
        <f>Historicals!I10</f>
        <v>6651</v>
      </c>
      <c r="J11" s="67"/>
      <c r="K11" s="67"/>
      <c r="L11" s="67"/>
      <c r="M11" s="67"/>
      <c r="N11" s="6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 t="s">
        <v>14</v>
      </c>
      <c r="B12" s="63">
        <f>Historicals!B11</f>
        <v>932</v>
      </c>
      <c r="C12" s="63">
        <f>Historicals!C11</f>
        <v>863</v>
      </c>
      <c r="D12" s="63">
        <f>Historicals!D11</f>
        <v>646</v>
      </c>
      <c r="E12" s="63">
        <f>Historicals!E11</f>
        <v>2392</v>
      </c>
      <c r="F12" s="63">
        <f>Historicals!F11</f>
        <v>772</v>
      </c>
      <c r="G12" s="63">
        <f>Historicals!G11</f>
        <v>348</v>
      </c>
      <c r="H12" s="63">
        <f>Historicals!H11</f>
        <v>934</v>
      </c>
      <c r="I12" s="63">
        <f>Historicals!I11</f>
        <v>605</v>
      </c>
      <c r="J12" s="63"/>
      <c r="K12" s="63"/>
      <c r="L12" s="63"/>
      <c r="M12" s="63"/>
      <c r="N12" s="6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64" t="s">
        <v>170</v>
      </c>
      <c r="B13" s="65">
        <f t="shared" ref="B13:I13" si="7">B12/B11</f>
        <v>0.2216409037</v>
      </c>
      <c r="C13" s="65">
        <f t="shared" si="7"/>
        <v>0.1866753191</v>
      </c>
      <c r="D13" s="65">
        <f t="shared" si="7"/>
        <v>0.1322144904</v>
      </c>
      <c r="E13" s="65">
        <f t="shared" si="7"/>
        <v>0.5530635838</v>
      </c>
      <c r="F13" s="65">
        <f t="shared" si="7"/>
        <v>0.1607998334</v>
      </c>
      <c r="G13" s="65">
        <f t="shared" si="7"/>
        <v>0.1205403533</v>
      </c>
      <c r="H13" s="65">
        <f t="shared" si="7"/>
        <v>0.1402191863</v>
      </c>
      <c r="I13" s="65">
        <f t="shared" si="7"/>
        <v>0.09096376485</v>
      </c>
      <c r="J13" s="68"/>
      <c r="K13" s="68"/>
      <c r="L13" s="68"/>
      <c r="M13" s="68"/>
      <c r="N13" s="6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69" t="s">
        <v>171</v>
      </c>
      <c r="B14" s="70">
        <f>Historicals!B12</f>
        <v>3273</v>
      </c>
      <c r="C14" s="70">
        <f>Historicals!C12</f>
        <v>3760</v>
      </c>
      <c r="D14" s="70">
        <f>Historicals!D12</f>
        <v>4240</v>
      </c>
      <c r="E14" s="70">
        <f>Historicals!E12</f>
        <v>1933</v>
      </c>
      <c r="F14" s="70">
        <f>Historicals!F12</f>
        <v>4029</v>
      </c>
      <c r="G14" s="70">
        <f>Historicals!G12</f>
        <v>2539</v>
      </c>
      <c r="H14" s="70">
        <f>Historicals!H12</f>
        <v>5727</v>
      </c>
      <c r="I14" s="70">
        <f>Historicals!I12</f>
        <v>6046</v>
      </c>
      <c r="J14" s="70"/>
      <c r="K14" s="70"/>
      <c r="L14" s="70"/>
      <c r="M14" s="70"/>
      <c r="N14" s="70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 t="s">
        <v>172</v>
      </c>
      <c r="B15" s="63">
        <f>Historicals!B18</f>
        <v>1768.8</v>
      </c>
      <c r="C15" s="63">
        <f>Historicals!C18</f>
        <v>1742.5</v>
      </c>
      <c r="D15" s="63">
        <f>Historicals!D18</f>
        <v>1692</v>
      </c>
      <c r="E15" s="63">
        <f>Historicals!E18</f>
        <v>1659.1</v>
      </c>
      <c r="F15" s="63">
        <f>Historicals!F18</f>
        <v>1618.4</v>
      </c>
      <c r="G15" s="63">
        <f>Historicals!G18</f>
        <v>1591.6</v>
      </c>
      <c r="H15" s="63">
        <f>Historicals!H18</f>
        <v>1609.4</v>
      </c>
      <c r="I15" s="63">
        <f>Historicals!I18</f>
        <v>1610.8</v>
      </c>
      <c r="J15" s="63"/>
      <c r="K15" s="63"/>
      <c r="L15" s="63"/>
      <c r="M15" s="63"/>
      <c r="N15" s="63"/>
      <c r="O15" s="2" t="s">
        <v>173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 t="s">
        <v>174</v>
      </c>
      <c r="B16" s="71">
        <f>Historicals!B15</f>
        <v>1.85</v>
      </c>
      <c r="C16" s="71">
        <f>Historicals!C15</f>
        <v>2.16</v>
      </c>
      <c r="D16" s="71">
        <f>Historicals!D15</f>
        <v>2.51</v>
      </c>
      <c r="E16" s="71">
        <f>Historicals!E15</f>
        <v>1.17</v>
      </c>
      <c r="F16" s="71">
        <f>Historicals!F15</f>
        <v>2.49</v>
      </c>
      <c r="G16" s="71">
        <f>Historicals!G15</f>
        <v>1.6</v>
      </c>
      <c r="H16" s="71">
        <f>Historicals!H15</f>
        <v>3.56</v>
      </c>
      <c r="I16" s="71">
        <f>Historicals!I15</f>
        <v>3.75</v>
      </c>
      <c r="J16" s="71"/>
      <c r="K16" s="71"/>
      <c r="L16" s="71"/>
      <c r="M16" s="71"/>
      <c r="N16" s="7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 t="s">
        <v>175</v>
      </c>
      <c r="B17" s="71">
        <f>+IFERROR(-Historicals!B94/Historicals!B18,"nm")</f>
        <v>1.432609679</v>
      </c>
      <c r="C17" s="71">
        <f>+IFERROR(-Historicals!C94/Historicals!C18,"nm")</f>
        <v>0.5865136298</v>
      </c>
      <c r="D17" s="71">
        <f>+IFERROR(-Historicals!D94/Historicals!D18,"nm")</f>
        <v>0.6696217494</v>
      </c>
      <c r="E17" s="71">
        <f>+IFERROR(-Historicals!E94/Historicals!E18,"nm")</f>
        <v>0.7492013742</v>
      </c>
      <c r="F17" s="71">
        <f>+IFERROR(-Historicals!F94/Historicals!F18,"nm")</f>
        <v>0.8230350964</v>
      </c>
      <c r="G17" s="71">
        <f>+IFERROR(-Historicals!G94/Historicals!G18,"nm")</f>
        <v>0.91228952</v>
      </c>
      <c r="H17" s="71">
        <f>+IFERROR(-Historicals!H94/Historicals!H18,"nm")</f>
        <v>1.017770598</v>
      </c>
      <c r="I17" s="71">
        <f>+IFERROR(-Historicals!I94/Historicals!I18,"nm")</f>
        <v>1.140427117</v>
      </c>
      <c r="J17" s="71"/>
      <c r="K17" s="71"/>
      <c r="L17" s="71"/>
      <c r="M17" s="71"/>
      <c r="N17" s="7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64" t="s">
        <v>138</v>
      </c>
      <c r="B18" s="65" t="str">
        <f t="shared" ref="B18:I18" si="8">+IFERROR(B17/A17-1,"nm")</f>
        <v>nm</v>
      </c>
      <c r="C18" s="65">
        <f t="shared" si="8"/>
        <v>-0.5905977473</v>
      </c>
      <c r="D18" s="65">
        <f t="shared" si="8"/>
        <v>0.1416985307</v>
      </c>
      <c r="E18" s="65">
        <f t="shared" si="8"/>
        <v>0.1188426524</v>
      </c>
      <c r="F18" s="65">
        <f t="shared" si="8"/>
        <v>0.09854990219</v>
      </c>
      <c r="G18" s="65">
        <f t="shared" si="8"/>
        <v>0.1084454648</v>
      </c>
      <c r="H18" s="65">
        <f t="shared" si="8"/>
        <v>0.1156223715</v>
      </c>
      <c r="I18" s="65">
        <f t="shared" si="8"/>
        <v>0.1205148975</v>
      </c>
      <c r="J18" s="68"/>
      <c r="K18" s="68"/>
      <c r="L18" s="68"/>
      <c r="M18" s="68"/>
      <c r="N18" s="68"/>
      <c r="O18" s="2" t="s">
        <v>176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64" t="s">
        <v>177</v>
      </c>
      <c r="B19" s="65">
        <f>-Historicals!B94/Historicals!B12</f>
        <v>0.77421326</v>
      </c>
      <c r="C19" s="65">
        <f>-Historicals!C94/Historicals!C12</f>
        <v>0.2718085106</v>
      </c>
      <c r="D19" s="65">
        <f>-Historicals!D94/Historicals!D12</f>
        <v>0.2672169811</v>
      </c>
      <c r="E19" s="65">
        <f>-Historicals!E94/Historicals!E12</f>
        <v>0.6430419038</v>
      </c>
      <c r="F19" s="65">
        <f>-Historicals!F94/Historicals!F12</f>
        <v>0.3306031273</v>
      </c>
      <c r="G19" s="65">
        <f>-Historicals!G94/Historicals!G12</f>
        <v>0.5718786924</v>
      </c>
      <c r="H19" s="65">
        <f>-Historicals!H94/Historicals!H12</f>
        <v>0.2860136197</v>
      </c>
      <c r="I19" s="65">
        <f>-Historicals!I94/Historicals!I12</f>
        <v>0.3038372478</v>
      </c>
      <c r="J19" s="65"/>
      <c r="K19" s="65"/>
      <c r="L19" s="65"/>
      <c r="M19" s="65"/>
      <c r="N19" s="65"/>
      <c r="O19" s="2" t="s">
        <v>176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72" t="s">
        <v>178</v>
      </c>
      <c r="B20" s="60"/>
      <c r="C20" s="60"/>
      <c r="D20" s="60"/>
      <c r="E20" s="60"/>
      <c r="F20" s="60"/>
      <c r="G20" s="60"/>
      <c r="H20" s="60"/>
      <c r="I20" s="60"/>
      <c r="J20" s="61"/>
      <c r="K20" s="61"/>
      <c r="L20" s="61"/>
      <c r="M20" s="61"/>
      <c r="N20" s="6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 t="s">
        <v>179</v>
      </c>
      <c r="B21" s="63">
        <f>Historicals!B25</f>
        <v>3852</v>
      </c>
      <c r="C21" s="63">
        <f>Historicals!C25</f>
        <v>3138</v>
      </c>
      <c r="D21" s="63">
        <f>Historicals!D25</f>
        <v>3808</v>
      </c>
      <c r="E21" s="63">
        <f>Historicals!E25</f>
        <v>4249</v>
      </c>
      <c r="F21" s="63">
        <f>Historicals!F25</f>
        <v>4466</v>
      </c>
      <c r="G21" s="63">
        <f>Historicals!G25</f>
        <v>8348</v>
      </c>
      <c r="H21" s="63">
        <f>Historicals!H25</f>
        <v>9889</v>
      </c>
      <c r="I21" s="63">
        <f>Historicals!I25</f>
        <v>8574</v>
      </c>
      <c r="J21" s="63"/>
      <c r="K21" s="63"/>
      <c r="L21" s="63"/>
      <c r="M21" s="63"/>
      <c r="N21" s="6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 t="s">
        <v>180</v>
      </c>
      <c r="B22" s="63">
        <f>Historicals!B26</f>
        <v>2072</v>
      </c>
      <c r="C22" s="63">
        <f>Historicals!C26</f>
        <v>2319</v>
      </c>
      <c r="D22" s="63">
        <f>Historicals!D26</f>
        <v>2371</v>
      </c>
      <c r="E22" s="63">
        <f>Historicals!E26</f>
        <v>996</v>
      </c>
      <c r="F22" s="63">
        <f>Historicals!F26</f>
        <v>197</v>
      </c>
      <c r="G22" s="63">
        <f>Historicals!G26</f>
        <v>439</v>
      </c>
      <c r="H22" s="63">
        <f>Historicals!H26</f>
        <v>3587</v>
      </c>
      <c r="I22" s="63">
        <f>Historicals!I26</f>
        <v>4423</v>
      </c>
      <c r="J22" s="63"/>
      <c r="K22" s="63"/>
      <c r="L22" s="63"/>
      <c r="M22" s="63"/>
      <c r="N22" s="6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 t="s">
        <v>181</v>
      </c>
      <c r="B23" s="63">
        <f>Historicals!B28+Historicals!B27-Historicals!B41</f>
        <v>5564</v>
      </c>
      <c r="C23" s="63">
        <f>Historicals!C28+Historicals!C27-Historicals!C41</f>
        <v>5888</v>
      </c>
      <c r="D23" s="63">
        <f>Historicals!D28+Historicals!D27-Historicals!D41</f>
        <v>6684</v>
      </c>
      <c r="E23" s="63">
        <f>Historicals!E28+Historicals!E27-Historicals!E41</f>
        <v>6480</v>
      </c>
      <c r="F23" s="63">
        <f>Historicals!F28+Historicals!F27-Historicals!F41</f>
        <v>7282</v>
      </c>
      <c r="G23" s="63">
        <f>Historicals!G28+Historicals!G27-Historicals!G41</f>
        <v>7868</v>
      </c>
      <c r="H23" s="63">
        <f>Historicals!H28+Historicals!H27-Historicals!H41</f>
        <v>8481</v>
      </c>
      <c r="I23" s="63">
        <f>Historicals!I28+Historicals!I27-Historicals!I41</f>
        <v>9729</v>
      </c>
      <c r="J23" s="63"/>
      <c r="K23" s="63"/>
      <c r="L23" s="63"/>
      <c r="M23" s="63"/>
      <c r="N23" s="63"/>
      <c r="O23" s="2" t="s">
        <v>182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64" t="s">
        <v>183</v>
      </c>
      <c r="B24" s="65">
        <f t="shared" ref="B24:I24" si="9">B23/B3</f>
        <v>0.1818241234</v>
      </c>
      <c r="C24" s="65">
        <f t="shared" si="9"/>
        <v>0.1818631085</v>
      </c>
      <c r="D24" s="65">
        <f t="shared" si="9"/>
        <v>0.1945851528</v>
      </c>
      <c r="E24" s="65">
        <f t="shared" si="9"/>
        <v>0.1780366514</v>
      </c>
      <c r="F24" s="65">
        <f t="shared" si="9"/>
        <v>0.1861594703</v>
      </c>
      <c r="G24" s="65">
        <f t="shared" si="9"/>
        <v>0.210357458</v>
      </c>
      <c r="H24" s="65">
        <f t="shared" si="9"/>
        <v>0.1904216624</v>
      </c>
      <c r="I24" s="65">
        <f t="shared" si="9"/>
        <v>0.2082851638</v>
      </c>
      <c r="J24" s="68"/>
      <c r="K24" s="68"/>
      <c r="L24" s="68"/>
      <c r="M24" s="68"/>
      <c r="N24" s="6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 t="s">
        <v>184</v>
      </c>
      <c r="B25" s="63">
        <f>Historicals!B29</f>
        <v>1968</v>
      </c>
      <c r="C25" s="63">
        <f>Historicals!C29</f>
        <v>1489</v>
      </c>
      <c r="D25" s="63">
        <f>Historicals!D29</f>
        <v>1150</v>
      </c>
      <c r="E25" s="63">
        <f>Historicals!E29</f>
        <v>1130</v>
      </c>
      <c r="F25" s="63">
        <f>Historicals!F29</f>
        <v>1968</v>
      </c>
      <c r="G25" s="63">
        <f>Historicals!G29</f>
        <v>1653</v>
      </c>
      <c r="H25" s="63">
        <f>Historicals!H29</f>
        <v>1498</v>
      </c>
      <c r="I25" s="63">
        <f>Historicals!I29</f>
        <v>2129</v>
      </c>
      <c r="J25" s="63"/>
      <c r="K25" s="63"/>
      <c r="L25" s="63"/>
      <c r="M25" s="63"/>
      <c r="N25" s="6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 t="s">
        <v>185</v>
      </c>
      <c r="B26" s="63">
        <f>Historicals!B31</f>
        <v>3011</v>
      </c>
      <c r="C26" s="63">
        <f>Historicals!C31</f>
        <v>3520</v>
      </c>
      <c r="D26" s="63">
        <f>Historicals!D31</f>
        <v>3989</v>
      </c>
      <c r="E26" s="63">
        <f>Historicals!E31</f>
        <v>4454</v>
      </c>
      <c r="F26" s="63">
        <f>Historicals!F31</f>
        <v>4744</v>
      </c>
      <c r="G26" s="63">
        <f>Historicals!G31</f>
        <v>4886</v>
      </c>
      <c r="H26" s="63">
        <f>Historicals!H31</f>
        <v>4904</v>
      </c>
      <c r="I26" s="63">
        <f>Historicals!I31</f>
        <v>4791</v>
      </c>
      <c r="J26" s="63"/>
      <c r="K26" s="63"/>
      <c r="L26" s="63"/>
      <c r="M26" s="63"/>
      <c r="N26" s="6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 t="s">
        <v>186</v>
      </c>
      <c r="B27" s="63">
        <f>Historicals!B33</f>
        <v>281</v>
      </c>
      <c r="C27" s="63">
        <f>Historicals!C33</f>
        <v>281</v>
      </c>
      <c r="D27" s="63">
        <f>Historicals!D33</f>
        <v>283</v>
      </c>
      <c r="E27" s="63">
        <f>Historicals!E33</f>
        <v>285</v>
      </c>
      <c r="F27" s="63">
        <f>Historicals!F33</f>
        <v>283</v>
      </c>
      <c r="G27" s="63">
        <f>Historicals!G33</f>
        <v>274</v>
      </c>
      <c r="H27" s="63">
        <f>Historicals!H33</f>
        <v>269</v>
      </c>
      <c r="I27" s="63">
        <f>Historicals!I33</f>
        <v>286</v>
      </c>
      <c r="J27" s="63"/>
      <c r="K27" s="63"/>
      <c r="L27" s="63"/>
      <c r="M27" s="63"/>
      <c r="N27" s="6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 t="s">
        <v>33</v>
      </c>
      <c r="B28" s="63">
        <f>Historicals!B34</f>
        <v>131</v>
      </c>
      <c r="C28" s="63">
        <f>Historicals!C34</f>
        <v>131</v>
      </c>
      <c r="D28" s="63">
        <f>Historicals!D34</f>
        <v>139</v>
      </c>
      <c r="E28" s="63">
        <f>Historicals!E34</f>
        <v>154</v>
      </c>
      <c r="F28" s="63">
        <f>Historicals!F34</f>
        <v>154</v>
      </c>
      <c r="G28" s="63">
        <f>Historicals!G34</f>
        <v>223</v>
      </c>
      <c r="H28" s="63">
        <f>Historicals!H34</f>
        <v>242</v>
      </c>
      <c r="I28" s="63">
        <f>Historicals!I34</f>
        <v>284</v>
      </c>
      <c r="J28" s="63"/>
      <c r="K28" s="63"/>
      <c r="L28" s="63"/>
      <c r="M28" s="63"/>
      <c r="N28" s="6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" t="s">
        <v>31</v>
      </c>
      <c r="B29" s="63" t="str">
        <f>Historicals!B32</f>
        <v/>
      </c>
      <c r="C29" s="63" t="str">
        <f>Historicals!C32</f>
        <v/>
      </c>
      <c r="D29" s="63" t="str">
        <f>Historicals!D32</f>
        <v/>
      </c>
      <c r="E29" s="63" t="str">
        <f>Historicals!E32</f>
        <v/>
      </c>
      <c r="F29" s="63" t="str">
        <f>Historicals!F32</f>
        <v/>
      </c>
      <c r="G29" s="63">
        <f>Historicals!G32</f>
        <v>3097</v>
      </c>
      <c r="H29" s="63">
        <f>Historicals!H32</f>
        <v>3113</v>
      </c>
      <c r="I29" s="63">
        <f>Historicals!I32</f>
        <v>2926</v>
      </c>
      <c r="J29" s="63"/>
      <c r="K29" s="63"/>
      <c r="L29" s="63"/>
      <c r="M29" s="63"/>
      <c r="N29" s="6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 t="s">
        <v>187</v>
      </c>
      <c r="B30" s="63">
        <f>Historicals!B35</f>
        <v>2587</v>
      </c>
      <c r="C30" s="63">
        <f>Historicals!C35</f>
        <v>2439</v>
      </c>
      <c r="D30" s="63">
        <f>Historicals!D35</f>
        <v>2787</v>
      </c>
      <c r="E30" s="63">
        <f>Historicals!E35</f>
        <v>2509</v>
      </c>
      <c r="F30" s="63">
        <f>Historicals!F35</f>
        <v>2011</v>
      </c>
      <c r="G30" s="63">
        <f>Historicals!G35</f>
        <v>2326</v>
      </c>
      <c r="H30" s="63">
        <f>Historicals!H35</f>
        <v>2921</v>
      </c>
      <c r="I30" s="63">
        <f>Historicals!I35</f>
        <v>3821</v>
      </c>
      <c r="J30" s="63"/>
      <c r="K30" s="63"/>
      <c r="L30" s="63"/>
      <c r="M30" s="63"/>
      <c r="N30" s="6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69" t="s">
        <v>188</v>
      </c>
      <c r="B31" s="73">
        <f t="shared" ref="B31:I31" si="10">SUM(B21:B30)</f>
        <v>19466.18182</v>
      </c>
      <c r="C31" s="73">
        <f t="shared" si="10"/>
        <v>19205.18186</v>
      </c>
      <c r="D31" s="73">
        <f t="shared" si="10"/>
        <v>21211.19459</v>
      </c>
      <c r="E31" s="73">
        <f t="shared" si="10"/>
        <v>20257.17804</v>
      </c>
      <c r="F31" s="73">
        <f t="shared" si="10"/>
        <v>21105.18616</v>
      </c>
      <c r="G31" s="73">
        <f t="shared" si="10"/>
        <v>29114.21036</v>
      </c>
      <c r="H31" s="73">
        <f t="shared" si="10"/>
        <v>34904.19042</v>
      </c>
      <c r="I31" s="73">
        <f t="shared" si="10"/>
        <v>36963.20829</v>
      </c>
      <c r="J31" s="73"/>
      <c r="K31" s="73"/>
      <c r="L31" s="73"/>
      <c r="M31" s="73"/>
      <c r="N31" s="73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15.75" customHeight="1">
      <c r="A32" s="2" t="s">
        <v>189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4" t="s">
        <v>38</v>
      </c>
      <c r="B33" s="63">
        <f>Historicals!B39</f>
        <v>107</v>
      </c>
      <c r="C33" s="63">
        <f>Historicals!C39</f>
        <v>44</v>
      </c>
      <c r="D33" s="63">
        <f>Historicals!D39</f>
        <v>6</v>
      </c>
      <c r="E33" s="63">
        <f>Historicals!E39</f>
        <v>6</v>
      </c>
      <c r="F33" s="63">
        <f>Historicals!F39</f>
        <v>6</v>
      </c>
      <c r="G33" s="63">
        <f>Historicals!G39</f>
        <v>3</v>
      </c>
      <c r="H33" s="63">
        <f>Historicals!H39</f>
        <v>0</v>
      </c>
      <c r="I33" s="63">
        <f>Historicals!I39</f>
        <v>500</v>
      </c>
      <c r="J33" s="63"/>
      <c r="K33" s="63"/>
      <c r="L33" s="63"/>
      <c r="M33" s="63"/>
      <c r="N33" s="6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4" t="s">
        <v>39</v>
      </c>
      <c r="B34" s="63">
        <f>Historicals!B40</f>
        <v>74</v>
      </c>
      <c r="C34" s="63">
        <f>Historicals!C40</f>
        <v>1</v>
      </c>
      <c r="D34" s="63">
        <f>Historicals!D40</f>
        <v>325</v>
      </c>
      <c r="E34" s="63">
        <f>Historicals!E40</f>
        <v>336</v>
      </c>
      <c r="F34" s="63">
        <f>Historicals!F40</f>
        <v>9</v>
      </c>
      <c r="G34" s="63">
        <f>Historicals!G40</f>
        <v>248</v>
      </c>
      <c r="H34" s="63">
        <f>Historicals!H40</f>
        <v>2</v>
      </c>
      <c r="I34" s="63">
        <f>Historicals!I40</f>
        <v>10</v>
      </c>
      <c r="J34" s="63"/>
      <c r="K34" s="63"/>
      <c r="L34" s="63"/>
      <c r="M34" s="63"/>
      <c r="N34" s="6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 t="s">
        <v>190</v>
      </c>
      <c r="B35" s="63">
        <f>SUM(Historicals!B42:B44)</f>
        <v>4020</v>
      </c>
      <c r="C35" s="63">
        <f>SUM(Historicals!C42:C44)</f>
        <v>3122</v>
      </c>
      <c r="D35" s="63">
        <f>SUM(Historicals!D42:D44)</f>
        <v>3095</v>
      </c>
      <c r="E35" s="63">
        <f>SUM(Historicals!E42:E44)</f>
        <v>3419</v>
      </c>
      <c r="F35" s="63">
        <f>SUM(Historicals!F42:F44)</f>
        <v>5239</v>
      </c>
      <c r="G35" s="63">
        <f>SUM(Historicals!G42:G44)</f>
        <v>5785</v>
      </c>
      <c r="H35" s="63">
        <f>SUM(Historicals!H42:H44)</f>
        <v>6530</v>
      </c>
      <c r="I35" s="63">
        <f>SUM(Historicals!I42:I44)</f>
        <v>6862</v>
      </c>
      <c r="J35" s="63"/>
      <c r="K35" s="63"/>
      <c r="L35" s="63"/>
      <c r="M35" s="63"/>
      <c r="N35" s="6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 t="s">
        <v>45</v>
      </c>
      <c r="B36" s="63">
        <f>Historicals!B46</f>
        <v>1079</v>
      </c>
      <c r="C36" s="63">
        <f>Historicals!C46</f>
        <v>2010</v>
      </c>
      <c r="D36" s="63">
        <f>Historicals!D46</f>
        <v>3471</v>
      </c>
      <c r="E36" s="63">
        <f>Historicals!E46</f>
        <v>3468</v>
      </c>
      <c r="F36" s="63">
        <f>Historicals!F46</f>
        <v>3464</v>
      </c>
      <c r="G36" s="63">
        <f>Historicals!G46</f>
        <v>9406</v>
      </c>
      <c r="H36" s="63">
        <f>Historicals!H46</f>
        <v>9413</v>
      </c>
      <c r="I36" s="63">
        <f>Historicals!I46</f>
        <v>8920</v>
      </c>
      <c r="J36" s="63"/>
      <c r="K36" s="63"/>
      <c r="L36" s="63"/>
      <c r="M36" s="63"/>
      <c r="N36" s="6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4" t="s">
        <v>46</v>
      </c>
      <c r="B37" s="63">
        <f>Historicals!B47</f>
        <v>1479</v>
      </c>
      <c r="C37" s="63">
        <f>Historicals!C47</f>
        <v>1770</v>
      </c>
      <c r="D37" s="63">
        <f>Historicals!D47</f>
        <v>1907</v>
      </c>
      <c r="E37" s="63">
        <f>Historicals!E47</f>
        <v>3216</v>
      </c>
      <c r="F37" s="63" t="str">
        <f>Historicals!F47</f>
        <v/>
      </c>
      <c r="G37" s="63">
        <f>Historicals!G47</f>
        <v>2913</v>
      </c>
      <c r="H37" s="63">
        <f>Historicals!H47</f>
        <v>2931</v>
      </c>
      <c r="I37" s="63">
        <f>Historicals!I47</f>
        <v>2777</v>
      </c>
      <c r="J37" s="63"/>
      <c r="K37" s="63"/>
      <c r="L37" s="63"/>
      <c r="M37" s="63"/>
      <c r="N37" s="6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 t="s">
        <v>191</v>
      </c>
      <c r="B38" s="63">
        <f>SUM(Historicals!B48:B49)</f>
        <v>0</v>
      </c>
      <c r="C38" s="63">
        <f>SUM(Historicals!C48:C49)</f>
        <v>0</v>
      </c>
      <c r="D38" s="63">
        <f>SUM(Historicals!D48:D49)</f>
        <v>0</v>
      </c>
      <c r="E38" s="63">
        <f>SUM(Historicals!E48:E49)</f>
        <v>0</v>
      </c>
      <c r="F38" s="63">
        <f>SUM(Historicals!F48:F49)</f>
        <v>3347</v>
      </c>
      <c r="G38" s="63">
        <f>SUM(Historicals!G48:G49)</f>
        <v>2684</v>
      </c>
      <c r="H38" s="63">
        <f>SUM(Historicals!H48:H49)</f>
        <v>2955</v>
      </c>
      <c r="I38" s="63">
        <f>SUM(Historicals!I48:I49)</f>
        <v>2613</v>
      </c>
      <c r="J38" s="63"/>
      <c r="K38" s="63"/>
      <c r="L38" s="63"/>
      <c r="M38" s="63"/>
      <c r="N38" s="6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 t="s">
        <v>192</v>
      </c>
      <c r="B39" s="63">
        <f t="shared" ref="B39:I39" si="11">SUM(B40:B42)</f>
        <v>12707</v>
      </c>
      <c r="C39" s="63">
        <f t="shared" si="11"/>
        <v>12258</v>
      </c>
      <c r="D39" s="63">
        <f t="shared" si="11"/>
        <v>12407</v>
      </c>
      <c r="E39" s="63">
        <f t="shared" si="11"/>
        <v>9812</v>
      </c>
      <c r="F39" s="63">
        <f t="shared" si="11"/>
        <v>9040</v>
      </c>
      <c r="G39" s="63">
        <f t="shared" si="11"/>
        <v>8055</v>
      </c>
      <c r="H39" s="63">
        <f t="shared" si="11"/>
        <v>12767</v>
      </c>
      <c r="I39" s="63">
        <f t="shared" si="11"/>
        <v>15281</v>
      </c>
      <c r="J39" s="63"/>
      <c r="K39" s="63"/>
      <c r="L39" s="63"/>
      <c r="M39" s="63"/>
      <c r="N39" s="6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4" t="s">
        <v>193</v>
      </c>
      <c r="B40" s="63">
        <f>SUM(Historicals!B53:B54)</f>
        <v>3</v>
      </c>
      <c r="C40" s="63">
        <f>SUM(Historicals!C53:C54)</f>
        <v>3</v>
      </c>
      <c r="D40" s="63">
        <f>SUM(Historicals!D53:D54)</f>
        <v>3</v>
      </c>
      <c r="E40" s="63">
        <f>SUM(Historicals!E53:E54)</f>
        <v>3</v>
      </c>
      <c r="F40" s="63">
        <f>SUM(Historicals!F53:F54)</f>
        <v>3</v>
      </c>
      <c r="G40" s="63">
        <f>SUM(Historicals!G53:G54)</f>
        <v>3</v>
      </c>
      <c r="H40" s="63">
        <f>SUM(Historicals!H53:H54)</f>
        <v>3</v>
      </c>
      <c r="I40" s="63">
        <f>SUM(Historicals!I53:I54)</f>
        <v>3</v>
      </c>
      <c r="J40" s="63"/>
      <c r="K40" s="63"/>
      <c r="L40" s="63"/>
      <c r="M40" s="63"/>
      <c r="N40" s="6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4" t="s">
        <v>194</v>
      </c>
      <c r="B41" s="63">
        <f>Historicals!B57</f>
        <v>4685</v>
      </c>
      <c r="C41" s="63">
        <f>Historicals!C57</f>
        <v>4151</v>
      </c>
      <c r="D41" s="63">
        <f>Historicals!D57</f>
        <v>6907</v>
      </c>
      <c r="E41" s="63">
        <f>Historicals!E57</f>
        <v>3517</v>
      </c>
      <c r="F41" s="63">
        <f>Historicals!F57</f>
        <v>1643</v>
      </c>
      <c r="G41" s="63">
        <f>Historicals!G57</f>
        <v>-191</v>
      </c>
      <c r="H41" s="63">
        <f>Historicals!H57</f>
        <v>3179</v>
      </c>
      <c r="I41" s="63">
        <f>Historicals!I57</f>
        <v>3476</v>
      </c>
      <c r="J41" s="63"/>
      <c r="K41" s="63"/>
      <c r="L41" s="63"/>
      <c r="M41" s="63"/>
      <c r="N41" s="6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4" t="s">
        <v>195</v>
      </c>
      <c r="B42" s="63">
        <f>SUM(Historicals!B55:B56)</f>
        <v>8019</v>
      </c>
      <c r="C42" s="63">
        <f>SUM(Historicals!C55:C56)</f>
        <v>8104</v>
      </c>
      <c r="D42" s="63">
        <f>SUM(Historicals!D55:D56)</f>
        <v>5497</v>
      </c>
      <c r="E42" s="63">
        <f>SUM(Historicals!E55:E56)</f>
        <v>6292</v>
      </c>
      <c r="F42" s="63">
        <f>SUM(Historicals!F55:F56)</f>
        <v>7394</v>
      </c>
      <c r="G42" s="63">
        <f>SUM(Historicals!G55:G56)</f>
        <v>8243</v>
      </c>
      <c r="H42" s="63">
        <f>SUM(Historicals!H55:H56)</f>
        <v>9585</v>
      </c>
      <c r="I42" s="63">
        <f>SUM(Historicals!I55:I56)</f>
        <v>11802</v>
      </c>
      <c r="J42" s="63"/>
      <c r="K42" s="63"/>
      <c r="L42" s="63"/>
      <c r="M42" s="63"/>
      <c r="N42" s="6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69" t="s">
        <v>196</v>
      </c>
      <c r="B43" s="70">
        <f t="shared" ref="B43:I43" si="12">sum(B32:B39)</f>
        <v>19466</v>
      </c>
      <c r="C43" s="70">
        <f t="shared" si="12"/>
        <v>19205</v>
      </c>
      <c r="D43" s="70">
        <f t="shared" si="12"/>
        <v>21211</v>
      </c>
      <c r="E43" s="70">
        <f t="shared" si="12"/>
        <v>20257</v>
      </c>
      <c r="F43" s="70">
        <f t="shared" si="12"/>
        <v>21105</v>
      </c>
      <c r="G43" s="70">
        <f t="shared" si="12"/>
        <v>29094</v>
      </c>
      <c r="H43" s="70">
        <f t="shared" si="12"/>
        <v>34598</v>
      </c>
      <c r="I43" s="70">
        <f t="shared" si="12"/>
        <v>36963</v>
      </c>
      <c r="J43" s="70"/>
      <c r="K43" s="70"/>
      <c r="L43" s="70"/>
      <c r="M43" s="70"/>
      <c r="N43" s="70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75" t="s">
        <v>197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72" t="s">
        <v>198</v>
      </c>
      <c r="B45" s="60"/>
      <c r="C45" s="60"/>
      <c r="D45" s="60"/>
      <c r="E45" s="60"/>
      <c r="F45" s="60"/>
      <c r="G45" s="60"/>
      <c r="H45" s="60"/>
      <c r="I45" s="60"/>
      <c r="J45" s="61"/>
      <c r="K45" s="61"/>
      <c r="L45" s="61"/>
      <c r="M45" s="61"/>
      <c r="N45" s="6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62" t="s">
        <v>143</v>
      </c>
      <c r="B46" s="76">
        <f>'Segmental forecast'!B11</f>
        <v>4233</v>
      </c>
      <c r="C46" s="76">
        <f>'Segmental forecast'!C11</f>
        <v>4642</v>
      </c>
      <c r="D46" s="76">
        <f>'Segmental forecast'!D11</f>
        <v>4945</v>
      </c>
      <c r="E46" s="76">
        <f>'Segmental forecast'!E11</f>
        <v>4379</v>
      </c>
      <c r="F46" s="76">
        <f>'Segmental forecast'!F11</f>
        <v>4850</v>
      </c>
      <c r="G46" s="76">
        <f>'Segmental forecast'!G11</f>
        <v>2976</v>
      </c>
      <c r="H46" s="76">
        <f>'Segmental forecast'!H11</f>
        <v>6923</v>
      </c>
      <c r="I46" s="76">
        <f>'Segmental forecast'!I11</f>
        <v>6856</v>
      </c>
      <c r="J46" s="76"/>
      <c r="K46" s="76"/>
      <c r="L46" s="76"/>
      <c r="M46" s="76"/>
      <c r="N46" s="76"/>
      <c r="O46" s="74" t="s">
        <v>199</v>
      </c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>
      <c r="A47" s="2" t="s">
        <v>141</v>
      </c>
      <c r="B47" s="63">
        <f>'Segmental forecast'!B8</f>
        <v>606</v>
      </c>
      <c r="C47" s="63">
        <f>'Segmental forecast'!C8</f>
        <v>649</v>
      </c>
      <c r="D47" s="63">
        <f>'Segmental forecast'!D8</f>
        <v>699</v>
      </c>
      <c r="E47" s="63">
        <f>'Segmental forecast'!E8</f>
        <v>747</v>
      </c>
      <c r="F47" s="63">
        <f>'Segmental forecast'!F8</f>
        <v>705</v>
      </c>
      <c r="G47" s="63">
        <f>'Segmental forecast'!G8</f>
        <v>721</v>
      </c>
      <c r="H47" s="63">
        <f>'Segmental forecast'!H8</f>
        <v>744</v>
      </c>
      <c r="I47" s="63">
        <f>'Segmental forecast'!I8</f>
        <v>717</v>
      </c>
      <c r="J47" s="63"/>
      <c r="K47" s="63"/>
      <c r="L47" s="63"/>
      <c r="M47" s="63"/>
      <c r="N47" s="63"/>
      <c r="O47" s="2" t="s">
        <v>199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 t="s">
        <v>200</v>
      </c>
      <c r="B48" s="63">
        <f>Historicals!B105</f>
        <v>1262</v>
      </c>
      <c r="C48" s="63">
        <f>Historicals!C105</f>
        <v>748</v>
      </c>
      <c r="D48" s="63">
        <f>Historicals!D105</f>
        <v>703</v>
      </c>
      <c r="E48" s="63">
        <f>Historicals!E105</f>
        <v>529</v>
      </c>
      <c r="F48" s="63">
        <f>Historicals!F105</f>
        <v>757</v>
      </c>
      <c r="G48" s="63">
        <f>Historicals!G105</f>
        <v>1028</v>
      </c>
      <c r="H48" s="63">
        <f>Historicals!H105</f>
        <v>1177</v>
      </c>
      <c r="I48" s="63">
        <f>Historicals!I105</f>
        <v>1231</v>
      </c>
      <c r="J48" s="63"/>
      <c r="K48" s="63"/>
      <c r="L48" s="63"/>
      <c r="M48" s="63"/>
      <c r="N48" s="63"/>
      <c r="O48" s="2" t="s">
        <v>201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62" t="s">
        <v>202</v>
      </c>
      <c r="B49" s="76">
        <f t="shared" ref="B49:I49" si="13">B46-B48</f>
        <v>2971</v>
      </c>
      <c r="C49" s="76">
        <f t="shared" si="13"/>
        <v>3894</v>
      </c>
      <c r="D49" s="76">
        <f t="shared" si="13"/>
        <v>4242</v>
      </c>
      <c r="E49" s="76">
        <f t="shared" si="13"/>
        <v>3850</v>
      </c>
      <c r="F49" s="76">
        <f t="shared" si="13"/>
        <v>4093</v>
      </c>
      <c r="G49" s="76">
        <f t="shared" si="13"/>
        <v>1948</v>
      </c>
      <c r="H49" s="76">
        <f t="shared" si="13"/>
        <v>5746</v>
      </c>
      <c r="I49" s="76">
        <f t="shared" si="13"/>
        <v>5625</v>
      </c>
      <c r="J49" s="76"/>
      <c r="K49" s="76"/>
      <c r="L49" s="76"/>
      <c r="M49" s="76"/>
      <c r="N49" s="76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>
      <c r="A50" s="2" t="s">
        <v>203</v>
      </c>
      <c r="B50" s="63">
        <f>Historicals!B104</f>
        <v>53</v>
      </c>
      <c r="C50" s="63">
        <f>Historicals!C104</f>
        <v>70</v>
      </c>
      <c r="D50" s="63">
        <f>Historicals!D104</f>
        <v>98</v>
      </c>
      <c r="E50" s="63">
        <f>Historicals!E104</f>
        <v>125</v>
      </c>
      <c r="F50" s="63">
        <f>Historicals!F104</f>
        <v>153</v>
      </c>
      <c r="G50" s="63">
        <f>Historicals!G104</f>
        <v>140</v>
      </c>
      <c r="H50" s="63">
        <f>Historicals!H104</f>
        <v>293</v>
      </c>
      <c r="I50" s="63">
        <f>Historicals!I104</f>
        <v>290</v>
      </c>
      <c r="J50" s="63"/>
      <c r="K50" s="63"/>
      <c r="L50" s="63"/>
      <c r="M50" s="63"/>
      <c r="N50" s="63"/>
      <c r="O50" s="2" t="s">
        <v>201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 t="s">
        <v>204</v>
      </c>
      <c r="B51" s="77">
        <f>B74-B75</f>
        <v>-113</v>
      </c>
      <c r="C51" s="77">
        <f t="shared" ref="C51:I51" si="14">B23-C23</f>
        <v>-324</v>
      </c>
      <c r="D51" s="77">
        <f t="shared" si="14"/>
        <v>-796</v>
      </c>
      <c r="E51" s="77">
        <f t="shared" si="14"/>
        <v>204</v>
      </c>
      <c r="F51" s="77">
        <f t="shared" si="14"/>
        <v>-802</v>
      </c>
      <c r="G51" s="77">
        <f t="shared" si="14"/>
        <v>-586</v>
      </c>
      <c r="H51" s="77">
        <f t="shared" si="14"/>
        <v>-613</v>
      </c>
      <c r="I51" s="77">
        <f t="shared" si="14"/>
        <v>-1248</v>
      </c>
      <c r="J51" s="63"/>
      <c r="K51" s="63"/>
      <c r="L51" s="63"/>
      <c r="M51" s="63"/>
      <c r="N51" s="63"/>
      <c r="O51" s="2" t="s">
        <v>205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 t="s">
        <v>144</v>
      </c>
      <c r="B52" s="63">
        <f>(Historicals!B82)</f>
        <v>-963</v>
      </c>
      <c r="C52" s="63">
        <f>(Historicals!C82)</f>
        <v>-1143</v>
      </c>
      <c r="D52" s="63">
        <f>(Historicals!D82)</f>
        <v>-1105</v>
      </c>
      <c r="E52" s="63">
        <f>(Historicals!E82)</f>
        <v>-1028</v>
      </c>
      <c r="F52" s="63">
        <f>(Historicals!F82)</f>
        <v>-1119</v>
      </c>
      <c r="G52" s="63">
        <f>(Historicals!G82)</f>
        <v>-1086</v>
      </c>
      <c r="H52" s="63">
        <f>(Historicals!H82)</f>
        <v>-695</v>
      </c>
      <c r="I52" s="63">
        <f>(Historicals!I82)</f>
        <v>-758</v>
      </c>
      <c r="J52" s="63"/>
      <c r="K52" s="63"/>
      <c r="L52" s="63"/>
      <c r="M52" s="63"/>
      <c r="N52" s="63"/>
      <c r="O52" s="2" t="s">
        <v>206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62" t="s">
        <v>207</v>
      </c>
      <c r="B53" s="76">
        <f t="shared" ref="B53:I53" si="15">B49+B47+B52+B51</f>
        <v>2501</v>
      </c>
      <c r="C53" s="76">
        <f t="shared" si="15"/>
        <v>3076</v>
      </c>
      <c r="D53" s="76">
        <f t="shared" si="15"/>
        <v>3040</v>
      </c>
      <c r="E53" s="76">
        <f t="shared" si="15"/>
        <v>3773</v>
      </c>
      <c r="F53" s="76">
        <f t="shared" si="15"/>
        <v>2877</v>
      </c>
      <c r="G53" s="76">
        <f t="shared" si="15"/>
        <v>997</v>
      </c>
      <c r="H53" s="76">
        <f t="shared" si="15"/>
        <v>5182</v>
      </c>
      <c r="I53" s="76">
        <f t="shared" si="15"/>
        <v>4336</v>
      </c>
      <c r="J53" s="76"/>
      <c r="K53" s="76"/>
      <c r="L53" s="76"/>
      <c r="M53" s="76"/>
      <c r="N53" s="76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>
      <c r="A54" s="2" t="s">
        <v>208</v>
      </c>
      <c r="B54" s="63">
        <f>Historicals!B76-B47-B49-B51</f>
        <v>1216</v>
      </c>
      <c r="C54" s="63">
        <f>Historicals!C76-C47-C49-C51</f>
        <v>-1123</v>
      </c>
      <c r="D54" s="63">
        <f>Historicals!D76-D47-D49-D51</f>
        <v>-299</v>
      </c>
      <c r="E54" s="63">
        <f>Historicals!E76-E47-E49-E51</f>
        <v>154</v>
      </c>
      <c r="F54" s="63">
        <f>Historicals!F76-F47-F49-F51</f>
        <v>1907</v>
      </c>
      <c r="G54" s="63">
        <f>Historicals!G76-G47-G49-G51</f>
        <v>402</v>
      </c>
      <c r="H54" s="63">
        <f>Historicals!H76-H47-H49-H51</f>
        <v>780</v>
      </c>
      <c r="I54" s="63">
        <f>Historicals!I76-I47-I49-I51</f>
        <v>94</v>
      </c>
      <c r="J54" s="63"/>
      <c r="K54" s="63"/>
      <c r="L54" s="63"/>
      <c r="M54" s="63"/>
      <c r="N54" s="63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78" t="s">
        <v>209</v>
      </c>
      <c r="B55" s="79">
        <f t="shared" ref="B55:I55" si="16">B53+B54-B52</f>
        <v>4680</v>
      </c>
      <c r="C55" s="79">
        <f t="shared" si="16"/>
        <v>3096</v>
      </c>
      <c r="D55" s="79">
        <f t="shared" si="16"/>
        <v>3846</v>
      </c>
      <c r="E55" s="79">
        <f t="shared" si="16"/>
        <v>4955</v>
      </c>
      <c r="F55" s="79">
        <f t="shared" si="16"/>
        <v>5903</v>
      </c>
      <c r="G55" s="79">
        <f t="shared" si="16"/>
        <v>2485</v>
      </c>
      <c r="H55" s="79">
        <f t="shared" si="16"/>
        <v>6657</v>
      </c>
      <c r="I55" s="79">
        <f t="shared" si="16"/>
        <v>5188</v>
      </c>
      <c r="J55" s="79"/>
      <c r="K55" s="79"/>
      <c r="L55" s="79"/>
      <c r="M55" s="79"/>
      <c r="N55" s="79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>
      <c r="A56" s="2" t="s">
        <v>210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 t="s">
        <v>211</v>
      </c>
      <c r="B57" s="63">
        <f>SUM(Historicals!B78:B81)+SUM(Historicals!B83:B84)</f>
        <v>788</v>
      </c>
      <c r="C57" s="63">
        <f>SUM(Historicals!C78:C81)+SUM(Historicals!C83:C84)</f>
        <v>109</v>
      </c>
      <c r="D57" s="63">
        <f>SUM(Historicals!D78:D81)+SUM(Historicals!D83:D84)</f>
        <v>97</v>
      </c>
      <c r="E57" s="63">
        <f>SUM(Historicals!E78:E81)+SUM(Historicals!E83:E84)</f>
        <v>1304</v>
      </c>
      <c r="F57" s="63">
        <f>SUM(Historicals!F78:F81)+SUM(Historicals!F83:F84)</f>
        <v>855</v>
      </c>
      <c r="G57" s="63">
        <f>SUM(Historicals!G78:G81)+SUM(Historicals!G83:G84)</f>
        <v>58</v>
      </c>
      <c r="H57" s="63">
        <f>SUM(Historicals!H78:H81)+SUM(Historicals!H83:H84)</f>
        <v>-3105</v>
      </c>
      <c r="I57" s="63">
        <f>SUM(Historicals!I78:I81)+SUM(Historicals!I83:I84)</f>
        <v>-766</v>
      </c>
      <c r="J57" s="63"/>
      <c r="K57" s="63"/>
      <c r="L57" s="63"/>
      <c r="M57" s="63"/>
      <c r="N57" s="6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78" t="s">
        <v>212</v>
      </c>
      <c r="B58" s="79">
        <f t="shared" ref="B58:I58" si="17">B56+B57+B52</f>
        <v>-175</v>
      </c>
      <c r="C58" s="79">
        <f t="shared" si="17"/>
        <v>-1034</v>
      </c>
      <c r="D58" s="79">
        <f t="shared" si="17"/>
        <v>-1008</v>
      </c>
      <c r="E58" s="79">
        <f t="shared" si="17"/>
        <v>276</v>
      </c>
      <c r="F58" s="79">
        <f t="shared" si="17"/>
        <v>-264</v>
      </c>
      <c r="G58" s="79">
        <f t="shared" si="17"/>
        <v>-1028</v>
      </c>
      <c r="H58" s="79">
        <f t="shared" si="17"/>
        <v>-3800</v>
      </c>
      <c r="I58" s="79">
        <f t="shared" si="17"/>
        <v>-1524</v>
      </c>
      <c r="J58" s="79"/>
      <c r="K58" s="79"/>
      <c r="L58" s="79"/>
      <c r="M58" s="79"/>
      <c r="N58" s="79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>
      <c r="A59" s="2" t="s">
        <v>213</v>
      </c>
      <c r="B59" s="63">
        <f>Historicals!B91+Historicals!B93</f>
        <v>732</v>
      </c>
      <c r="C59" s="63">
        <f>Historicals!C91+Historicals!C93</f>
        <v>-2731</v>
      </c>
      <c r="D59" s="63">
        <f>Historicals!D91+Historicals!D93</f>
        <v>-2734</v>
      </c>
      <c r="E59" s="63">
        <f>Historicals!E91+Historicals!E93</f>
        <v>-3521</v>
      </c>
      <c r="F59" s="63">
        <f>Historicals!F91+Historicals!F93</f>
        <v>-3586</v>
      </c>
      <c r="G59" s="63">
        <f>Historicals!G91+Historicals!G93</f>
        <v>-2182</v>
      </c>
      <c r="H59" s="63">
        <f>Historicals!H91+Historicals!H93</f>
        <v>564</v>
      </c>
      <c r="I59" s="63">
        <f>Historicals!I91+Historicals!I93</f>
        <v>-2863</v>
      </c>
      <c r="J59" s="63"/>
      <c r="K59" s="63"/>
      <c r="L59" s="80"/>
      <c r="M59" s="63"/>
      <c r="N59" s="6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64" t="s">
        <v>138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8"/>
      <c r="N60" s="68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 t="s">
        <v>214</v>
      </c>
      <c r="B61" s="63">
        <f>Historicals!B94</f>
        <v>-2534</v>
      </c>
      <c r="C61" s="63">
        <f>Historicals!C94</f>
        <v>-1022</v>
      </c>
      <c r="D61" s="63">
        <f>Historicals!D94</f>
        <v>-1133</v>
      </c>
      <c r="E61" s="63">
        <f>Historicals!E94</f>
        <v>-1243</v>
      </c>
      <c r="F61" s="63">
        <f>Historicals!F94</f>
        <v>-1332</v>
      </c>
      <c r="G61" s="63">
        <f>Historicals!G94</f>
        <v>-1452</v>
      </c>
      <c r="H61" s="63">
        <f>Historicals!H94</f>
        <v>-1638</v>
      </c>
      <c r="I61" s="63">
        <f>Historicals!I94</f>
        <v>-1837</v>
      </c>
      <c r="J61" s="63"/>
      <c r="K61" s="63"/>
      <c r="L61" s="63"/>
      <c r="M61" s="63"/>
      <c r="N61" s="63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 t="s">
        <v>215</v>
      </c>
      <c r="B62" s="63">
        <f>SUM(Historicals!B87:B90)+Historicals!B92</f>
        <v>129</v>
      </c>
      <c r="C62" s="63">
        <f>SUM(Historicals!C87:C90)+Historicals!C92</f>
        <v>1082</v>
      </c>
      <c r="D62" s="63">
        <f>SUM(Historicals!D87:D90)+Historicals!D92</f>
        <v>1925</v>
      </c>
      <c r="E62" s="63">
        <f>SUM(Historicals!E87:E90)+Historicals!E92</f>
        <v>-16</v>
      </c>
      <c r="F62" s="63">
        <f>SUM(Historicals!F87:F90)+Historicals!F92</f>
        <v>-325</v>
      </c>
      <c r="G62" s="63">
        <f>SUM(Historicals!G87:G90)+Historicals!G92</f>
        <v>6183</v>
      </c>
      <c r="H62" s="63">
        <f>SUM(Historicals!H87:H90)+Historicals!H92</f>
        <v>-249</v>
      </c>
      <c r="I62" s="63">
        <f>SUM(Historicals!I87:I90)+Historicals!I92</f>
        <v>15</v>
      </c>
      <c r="J62" s="63"/>
      <c r="K62" s="63"/>
      <c r="L62" s="63"/>
      <c r="M62" s="63"/>
      <c r="N62" s="63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 t="s">
        <v>216</v>
      </c>
      <c r="B63" s="63">
        <f>Historicals!B95</f>
        <v>-899</v>
      </c>
      <c r="C63" s="63">
        <f>Historicals!C95</f>
        <v>-22</v>
      </c>
      <c r="D63" s="63">
        <f>Historicals!D95</f>
        <v>-29</v>
      </c>
      <c r="E63" s="63">
        <f>Historicals!E95</f>
        <v>-55</v>
      </c>
      <c r="F63" s="63">
        <f>Historicals!F95</f>
        <v>-50</v>
      </c>
      <c r="G63" s="63">
        <f>Historicals!G95</f>
        <v>-58</v>
      </c>
      <c r="H63" s="63">
        <f>Historicals!H95</f>
        <v>-136</v>
      </c>
      <c r="I63" s="63">
        <f>Historicals!I95</f>
        <v>-151</v>
      </c>
      <c r="J63" s="63"/>
      <c r="K63" s="63"/>
      <c r="L63" s="63"/>
      <c r="M63" s="63"/>
      <c r="N63" s="63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78" t="s">
        <v>217</v>
      </c>
      <c r="B64" s="79">
        <f t="shared" ref="B64:I64" si="18">SUM(B59:B63)</f>
        <v>-2572</v>
      </c>
      <c r="C64" s="79">
        <f t="shared" si="18"/>
        <v>-2693</v>
      </c>
      <c r="D64" s="79">
        <f t="shared" si="18"/>
        <v>-1971</v>
      </c>
      <c r="E64" s="79">
        <f t="shared" si="18"/>
        <v>-4835</v>
      </c>
      <c r="F64" s="79">
        <f t="shared" si="18"/>
        <v>-5293</v>
      </c>
      <c r="G64" s="79">
        <f t="shared" si="18"/>
        <v>2491</v>
      </c>
      <c r="H64" s="79">
        <f t="shared" si="18"/>
        <v>-1459</v>
      </c>
      <c r="I64" s="79">
        <f t="shared" si="18"/>
        <v>-4836</v>
      </c>
      <c r="J64" s="79"/>
      <c r="K64" s="79"/>
      <c r="L64" s="79"/>
      <c r="M64" s="79"/>
      <c r="N64" s="79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>
      <c r="A65" s="2" t="s">
        <v>218</v>
      </c>
      <c r="B65" s="63">
        <f>Historicals!B97</f>
        <v>-83</v>
      </c>
      <c r="C65" s="63">
        <f>Historicals!C97</f>
        <v>-105</v>
      </c>
      <c r="D65" s="63">
        <f>Historicals!D97</f>
        <v>-20</v>
      </c>
      <c r="E65" s="63">
        <f>Historicals!E97</f>
        <v>45</v>
      </c>
      <c r="F65" s="63">
        <f>Historicals!F97</f>
        <v>-129</v>
      </c>
      <c r="G65" s="63">
        <f>Historicals!G97</f>
        <v>-66</v>
      </c>
      <c r="H65" s="63">
        <f>Historicals!H97</f>
        <v>143</v>
      </c>
      <c r="I65" s="63">
        <f>Historicals!I97</f>
        <v>-143</v>
      </c>
      <c r="J65" s="63"/>
      <c r="K65" s="63"/>
      <c r="L65" s="63"/>
      <c r="M65" s="63"/>
      <c r="N65" s="63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78" t="s">
        <v>219</v>
      </c>
      <c r="B66" s="79">
        <f t="shared" ref="B66:I66" si="19">B65+B64+B58+B55</f>
        <v>1850</v>
      </c>
      <c r="C66" s="79">
        <f t="shared" si="19"/>
        <v>-736</v>
      </c>
      <c r="D66" s="79">
        <f t="shared" si="19"/>
        <v>847</v>
      </c>
      <c r="E66" s="79">
        <f t="shared" si="19"/>
        <v>441</v>
      </c>
      <c r="F66" s="79">
        <f t="shared" si="19"/>
        <v>217</v>
      </c>
      <c r="G66" s="79">
        <f t="shared" si="19"/>
        <v>3882</v>
      </c>
      <c r="H66" s="79">
        <f t="shared" si="19"/>
        <v>1541</v>
      </c>
      <c r="I66" s="79">
        <f t="shared" si="19"/>
        <v>-1315</v>
      </c>
      <c r="J66" s="79"/>
      <c r="K66" s="79"/>
      <c r="L66" s="79"/>
      <c r="M66" s="79"/>
      <c r="N66" s="79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>
      <c r="A67" s="2" t="s">
        <v>220</v>
      </c>
      <c r="B67" s="63">
        <f>Historicals!B99</f>
        <v>2220</v>
      </c>
      <c r="C67" s="63">
        <f>Historicals!C99</f>
        <v>3852</v>
      </c>
      <c r="D67" s="63">
        <f>Historicals!D99</f>
        <v>3138</v>
      </c>
      <c r="E67" s="63">
        <f>Historicals!E99</f>
        <v>3808</v>
      </c>
      <c r="F67" s="63">
        <f>Historicals!F99</f>
        <v>4249</v>
      </c>
      <c r="G67" s="63">
        <f>Historicals!G99</f>
        <v>4466</v>
      </c>
      <c r="H67" s="63">
        <f>Historicals!H99</f>
        <v>8348</v>
      </c>
      <c r="I67" s="63">
        <f>Historicals!I99</f>
        <v>9889</v>
      </c>
      <c r="J67" s="63"/>
      <c r="K67" s="63"/>
      <c r="L67" s="63"/>
      <c r="M67" s="63"/>
      <c r="N67" s="63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69" t="s">
        <v>221</v>
      </c>
      <c r="B68" s="73">
        <f>Historicals!B100</f>
        <v>3852</v>
      </c>
      <c r="C68" s="73">
        <f>Historicals!C100</f>
        <v>3138</v>
      </c>
      <c r="D68" s="73">
        <f>Historicals!D100</f>
        <v>3808</v>
      </c>
      <c r="E68" s="73">
        <f>Historicals!E100</f>
        <v>4249</v>
      </c>
      <c r="F68" s="73">
        <f>Historicals!F100</f>
        <v>4466</v>
      </c>
      <c r="G68" s="73">
        <f>Historicals!G100</f>
        <v>8348</v>
      </c>
      <c r="H68" s="73">
        <f>Historicals!H100</f>
        <v>9889</v>
      </c>
      <c r="I68" s="73">
        <f>Historicals!I100</f>
        <v>8574</v>
      </c>
      <c r="J68" s="73"/>
      <c r="K68" s="73"/>
      <c r="L68" s="73"/>
      <c r="M68" s="73"/>
      <c r="N68" s="73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>
      <c r="A69" s="75" t="s">
        <v>197</v>
      </c>
      <c r="B69" s="63"/>
      <c r="C69" s="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74" t="s">
        <v>222</v>
      </c>
      <c r="B70" s="76">
        <f t="shared" ref="B70:I70" si="20">B36+B33+B34-(B21+B22)</f>
        <v>-4664</v>
      </c>
      <c r="C70" s="76">
        <f t="shared" si="20"/>
        <v>-3402</v>
      </c>
      <c r="D70" s="76">
        <f t="shared" si="20"/>
        <v>-2377</v>
      </c>
      <c r="E70" s="76">
        <f t="shared" si="20"/>
        <v>-1435</v>
      </c>
      <c r="F70" s="76">
        <f t="shared" si="20"/>
        <v>-1184</v>
      </c>
      <c r="G70" s="76">
        <f t="shared" si="20"/>
        <v>870</v>
      </c>
      <c r="H70" s="76">
        <f t="shared" si="20"/>
        <v>-4061</v>
      </c>
      <c r="I70" s="76">
        <f t="shared" si="20"/>
        <v>-3567</v>
      </c>
      <c r="J70" s="76"/>
      <c r="K70" s="76"/>
      <c r="L70" s="76"/>
      <c r="M70" s="76"/>
      <c r="N70" s="76"/>
      <c r="O70" s="74" t="s">
        <v>223</v>
      </c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81"/>
      <c r="B73" s="8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81" t="s">
        <v>224</v>
      </c>
      <c r="B74" s="2">
        <f>3434+3947-1930</f>
        <v>5451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81" t="s">
        <v>225</v>
      </c>
      <c r="B75" s="2">
        <f>3358+4337-2131</f>
        <v>5564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</cp:coreProperties>
</file>