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assumptions" sheetId="2" r:id="rId5"/>
    <sheet state="visible" name="Historicals" sheetId="3" r:id="rId6"/>
    <sheet state="visible" name="Segmental forecast" sheetId="4" r:id="rId7"/>
    <sheet state="visible" name="Three Statements" sheetId="5" r:id="rId8"/>
  </sheets>
  <definedNames/>
  <calcPr/>
  <extLst>
    <ext uri="GoogleSheetsCustomDataVersion2">
      <go:sheetsCustomData xmlns:go="http://customooxmlschemas.google.com/" r:id="rId9" roundtripDataChecksum="8aKNfGL72eDaps4aK4BuUkq/IicdCrHKlU6S2DcmSY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8">
      <text>
        <t xml:space="preserve">======
ID#AAABVF2BPbM
Dell    (2024-11-21 06:56:29)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hPiY1eoE9wGiOyS4WQIINrwqIjgg=="/>
    </ext>
  </extLst>
</comments>
</file>

<file path=xl/sharedStrings.xml><?xml version="1.0" encoding="utf-8"?>
<sst xmlns="http://schemas.openxmlformats.org/spreadsheetml/2006/main" count="574" uniqueCount="266">
  <si>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</si>
  <si>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</si>
  <si>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</si>
  <si>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</si>
  <si>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</si>
  <si>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</si>
  <si>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</si>
  <si>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</si>
  <si>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</si>
  <si>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</si>
  <si>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</si>
  <si>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</si>
  <si>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</si>
  <si>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</si>
  <si>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</si>
  <si>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</si>
  <si>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</si>
  <si>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</si>
  <si>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</si>
  <si>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</si>
  <si>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</si>
  <si>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</si>
  <si>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</si>
  <si>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2) Total debt includes the following: 1) Current portion of long-term debt, 2) Notes Payable, 3) Current portion of operating lease liabilities, 4) Long-term</t>
  </si>
  <si>
    <t>debt and 5) Operating lease liabilities.</t>
  </si>
  <si>
    <t>The scheduled maturity of Long-term debt in each of the years ending May 31, 2023 through 2027, are $500 million, $0 million,</t>
  </si>
  <si>
    <t>$1,000 million, $0 million and $2,000 million, respectively, at face value.</t>
  </si>
  <si>
    <t>On March 11, 2022, we entered into a 364-day committed credit facility agreement with a syndicate of banks which provides for</t>
  </si>
  <si>
    <t>up to $1 billion of borrowings, with the option to increase borrowings up to $1.5 billion in total with lender approval. The facility</t>
  </si>
  <si>
    <t>matures on March 10, 2023, with an option to extend the maturity date an additional 364 days. This facility replaces the prior $1</t>
  </si>
  <si>
    <t>billion 364-day credit facility agreement entered into on March 15, 2021, which would have matured on March 14, 2022. Refer to</t>
  </si>
  <si>
    <t>Note 7 — Short-Term Borrowings and Credit Lines for additional information.</t>
  </si>
  <si>
    <t>On March 11, 2022, we also entered into a five-year committed credit facility agreement with a syndicate of banks which provides</t>
  </si>
  <si>
    <t>for up to $2 billion of borrowings, with the option to increase borrowings up to $3 billion in total with lender approval. The facility</t>
  </si>
  <si>
    <t>matures on March 11, 2027, with options to extend the maturity date up to an additional two years. This facility replaces the prior</t>
  </si>
  <si>
    <t>$2 billion five-year credit facility agreement entered into on August 16, 2019, which would have matured on August 16, 2024.</t>
  </si>
  <si>
    <t>Refer to Note 7 — Short-Term Borrowings and Credit Lines for additional information.</t>
  </si>
  <si>
    <t>L/termDebt repayment</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</si>
  <si>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</si>
  <si>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</si>
  <si>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</si>
  <si>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</si>
  <si>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</si>
  <si>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</si>
  <si>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</si>
  <si>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</si>
  <si>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</si>
  <si>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</si>
  <si>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</si>
  <si>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</si>
  <si>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</si>
  <si>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</si>
  <si>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</si>
  <si>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</si>
  <si>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</si>
  <si>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</si>
  <si>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</si>
  <si>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</si>
  <si>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</si>
  <si>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</si>
  <si>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</si>
  <si>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</si>
  <si>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</si>
  <si>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</si>
  <si>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</si>
  <si>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</si>
  <si>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</si>
  <si>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</si>
  <si>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</si>
  <si>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</si>
  <si>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</si>
  <si>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</si>
  <si>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</si>
  <si>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</si>
  <si>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</si>
  <si>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</si>
  <si>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</si>
  <si>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</si>
  <si>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</si>
  <si>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</si>
  <si>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</si>
  <si>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</si>
  <si>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</si>
  <si>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</si>
  <si>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</si>
  <si>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</si>
  <si>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</si>
  <si>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</si>
  <si>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</si>
  <si>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</si>
  <si>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</si>
  <si>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</si>
  <si>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</si>
  <si>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</si>
  <si>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</si>
  <si>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</si>
  <si>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</si>
  <si>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</si>
  <si>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</si>
  <si>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</si>
  <si>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</si>
  <si>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</si>
  <si>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</si>
  <si>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</si>
  <si>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</si>
  <si>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</si>
  <si>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</si>
  <si>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</si>
  <si>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</si>
  <si>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</si>
  <si>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</si>
  <si>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</si>
  <si>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</si>
  <si>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</si>
  <si>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</si>
  <si>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</si>
  <si>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 of property, plant and equipment</t>
  </si>
  <si>
    <t>Other investing activities</t>
  </si>
  <si>
    <t>Cash provided (used) by investing activities</t>
  </si>
  <si>
    <t>Cash provided (used) by financing activities:</t>
  </si>
  <si>
    <t>Proceeds from borrowings, net of debt issuance costs</t>
  </si>
  <si>
    <t>Long-term debt payments, including current portion</t>
  </si>
  <si>
    <t>Increase (decrease) in notes payable, net</t>
  </si>
  <si>
    <t>Repayment of borrowings</t>
  </si>
  <si>
    <t>Proceeds from exercise of stock options and other stock issuances</t>
  </si>
  <si>
    <t>Excess tax benefits from share-based payment arrangements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</si>
  <si>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</si>
  <si>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</si>
  <si>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</si>
  <si>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</si>
  <si>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</si>
  <si>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</si>
  <si>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</si>
  <si>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</si>
  <si>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</si>
  <si>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</si>
  <si>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</si>
  <si>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</si>
  <si>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Growth %</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</si>
  <si>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</si>
  <si>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</si>
  <si>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</si>
  <si>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</si>
  <si>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</si>
  <si>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</si>
  <si>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</si>
  <si>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</si>
  <si>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</si>
  <si>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</si>
  <si>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</si>
  <si>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</si>
  <si>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</si>
  <si>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</si>
  <si>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</si>
  <si>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</si>
  <si>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</si>
  <si>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</si>
  <si>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</si>
  <si>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</si>
  <si>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</si>
  <si>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</si>
  <si>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</si>
  <si>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</si>
  <si>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</si>
  <si>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</si>
  <si>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</si>
  <si>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</si>
  <si>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</si>
  <si>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</si>
  <si>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</si>
  <si>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</si>
  <si>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</si>
  <si>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</si>
  <si>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growth rate used for forecasting</t>
  </si>
  <si>
    <t>Average  rate(2015-2022) kept constant (2023-2027</t>
  </si>
  <si>
    <t>EBITDA</t>
  </si>
  <si>
    <t>Margin %</t>
  </si>
  <si>
    <t>D&amp;A</t>
  </si>
  <si>
    <t>Margin used for forecasting</t>
  </si>
  <si>
    <t>As a  % of revenue</t>
  </si>
  <si>
    <t>As a % of PPE</t>
  </si>
  <si>
    <t>EBIT</t>
  </si>
  <si>
    <t>Capex</t>
  </si>
  <si>
    <t>Property, plant and equipment</t>
  </si>
  <si>
    <t>Revenue</t>
  </si>
  <si>
    <t>Organic growth %</t>
  </si>
  <si>
    <t>Currency impact %</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</si>
  <si>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</si>
  <si>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</si>
  <si>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</si>
  <si>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</si>
  <si>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</si>
  <si>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</si>
  <si>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</si>
  <si>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</si>
  <si>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</si>
  <si>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</si>
  <si>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</si>
  <si>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</si>
  <si>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</si>
  <si>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nm</t>
  </si>
  <si>
    <t>CORPORATE</t>
  </si>
  <si>
    <r>
      <rPr>
        <rFont val="Calibri"/>
        <b/>
        <color theme="0"/>
        <sz val="16.0"/>
      </rPr>
      <t>NIKE, INC.</t>
    </r>
    <r>
      <rPr>
        <rFont val="Calibri"/>
        <b/>
        <color theme="0"/>
        <sz val="20.0"/>
      </rPr>
      <t xml:space="preserve">
</t>
    </r>
    <r>
      <rPr>
        <rFont val="Calibri"/>
        <b val="0"/>
        <color theme="0"/>
        <sz val="11.0"/>
      </rPr>
      <t>(Dollars and Shares in Millions Except Per Share Amounts)</t>
    </r>
  </si>
  <si>
    <t>Comments</t>
  </si>
  <si>
    <t>Income Statement</t>
  </si>
  <si>
    <t>Link from segmental forecast</t>
  </si>
  <si>
    <t>Average growth rate(2015-2022) kept constant (2023-2027</t>
  </si>
  <si>
    <t>EBTDA</t>
  </si>
  <si>
    <t>From Cashflow statement</t>
  </si>
  <si>
    <t>PBT</t>
  </si>
  <si>
    <t>Average tax rate(2015-2022) kept constant (2023-2027</t>
  </si>
  <si>
    <t>Tax rate %</t>
  </si>
  <si>
    <t>Net Income</t>
  </si>
  <si>
    <t>Diluted number of shares</t>
  </si>
  <si>
    <t>2022 figure kept constant</t>
  </si>
  <si>
    <t>EPS</t>
  </si>
  <si>
    <t>Calculated</t>
  </si>
  <si>
    <t>DPS</t>
  </si>
  <si>
    <t>Payout ratio%</t>
  </si>
  <si>
    <t>Average ratio(2015-2022) kept constant (2023-2027</t>
  </si>
  <si>
    <t>Balance Sheet</t>
  </si>
  <si>
    <t>Cash and Cash Equivalents</t>
  </si>
  <si>
    <t>Link from cashflow</t>
  </si>
  <si>
    <t>Other Items Included in Net Debt</t>
  </si>
  <si>
    <t>Net Working Capital</t>
  </si>
  <si>
    <t>As a % of revenue</t>
  </si>
  <si>
    <t>Other Current Assets</t>
  </si>
  <si>
    <t>Property Plant and Equipment</t>
  </si>
  <si>
    <t>Intangible Assets</t>
  </si>
  <si>
    <t>Other Assets</t>
  </si>
  <si>
    <t>Total Assets</t>
  </si>
  <si>
    <t>Assets = previous year+ Capex - DA</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</si>
  <si>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</si>
  <si>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</si>
  <si>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</si>
  <si>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</si>
  <si>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</si>
  <si>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</si>
  <si>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</si>
  <si>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</si>
  <si>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</si>
  <si>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</si>
  <si>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income statement</t>
  </si>
  <si>
    <t>Cash Tax</t>
  </si>
  <si>
    <t>NOPAT</t>
  </si>
  <si>
    <t>Cash Interest</t>
  </si>
  <si>
    <t>calculated</t>
  </si>
  <si>
    <t>As a % net debt</t>
  </si>
  <si>
    <t>(Increase)/Decrease in Working Capital</t>
  </si>
  <si>
    <t>Link from balance sheet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</si>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</sst>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_);_(* \(#,##0\);_(* &quot;-&quot;??_);_(@_)"/>
    <numFmt numFmtId="165" formatCode="0.0%"/>
    <numFmt numFmtId="166" formatCode="#,##0.00;(#,##0.00)"/>
    <numFmt numFmtId="167" formatCode="_(* #,##0.00_);_(* \(#,##0.00\);_(* &quot;-&quot;??.00_);_(@_)"/>
    <numFmt numFmtId="168" formatCode="_(* #,##0.00_);_(* \(#,##0.00\);_(* &quot;-&quot;??_);_(@_)"/>
  </numFmts>
  <fonts count="31">
    <font>
      <sz val="11.0"/>
      <color theme="1"/>
      <name val="Calibri"/>
      <scheme val="minor"/>
    </font>
    <font>
      <b/>
      <sz val="18.0"/>
      <color rgb="FFFFFFFF"/>
      <name val="Calibri"/>
    </font>
    <font>
      <sz val="11.0"/>
      <color theme="1"/>
      <name val="Calibri"/>
    </font>
    <font>
      <b/>
      <sz val="11.0"/>
      <color theme="1"/>
      <name val="Calibri"/>
    </font>
    <font>
      <b/>
      <sz val="20.0"/>
      <color theme="0"/>
      <name val="Calibri"/>
    </font>
    <font>
      <b/>
      <sz val="11.0"/>
      <color theme="0"/>
      <name val="Calibri"/>
    </font>
    <font>
      <b/>
      <color theme="1"/>
      <name val="Calibri"/>
    </font>
    <font>
      <color theme="1"/>
      <name val="Calibri"/>
    </font>
    <font>
      <b/>
      <sz val="11.0"/>
      <color rgb="FFFF0000"/>
      <name val="Calibri"/>
    </font>
    <font>
      <sz val="11.0"/>
      <color rgb="FF000000"/>
      <name val="Calibri"/>
    </font>
    <font>
      <i/>
      <sz val="9.0"/>
      <color theme="1"/>
      <name val="Calibri"/>
    </font>
    <font>
      <color theme="1"/>
      <name val="Calibri"/>
      <scheme val="minor"/>
    </font>
    <font>
      <b/>
      <i/>
      <sz val="10.0"/>
      <color theme="1"/>
      <name val="Calibri"/>
    </font>
    <font>
      <i/>
      <sz val="10.0"/>
      <color theme="1"/>
      <name val="Calibri"/>
    </font>
    <font>
      <sz val="10.0"/>
      <color theme="1"/>
      <name val="Calibri"/>
    </font>
    <font>
      <i/>
      <color theme="1"/>
      <name val="Calibri"/>
    </font>
    <font>
      <i/>
      <sz val="11.0"/>
      <color theme="1"/>
      <name val="Calibri"/>
    </font>
    <font>
      <i/>
      <color theme="1"/>
      <name val="Calibri"/>
      <scheme val="minor"/>
    </font>
    <font>
      <b/>
      <color theme="1"/>
      <name val="Calibri"/>
      <scheme val="minor"/>
    </font>
    <font>
      <b/>
      <i/>
      <sz val="9.0"/>
      <color theme="1"/>
      <name val="Calibri"/>
    </font>
    <font>
      <i/>
      <sz val="10.0"/>
      <color rgb="FF002060"/>
      <name val="Calibri"/>
    </font>
    <font>
      <b/>
      <sz val="11.0"/>
      <color rgb="FF000000"/>
      <name val="Calibri"/>
    </font>
    <font>
      <i/>
      <sz val="9.0"/>
      <color rgb="FF000000"/>
      <name val="Calibri"/>
    </font>
    <font>
      <i/>
      <sz val="10.0"/>
      <color rgb="FF000000"/>
      <name val="Calibri"/>
    </font>
    <font>
      <b/>
      <i/>
      <sz val="10.0"/>
      <color rgb="FF000000"/>
      <name val="Calibri"/>
    </font>
    <font>
      <b/>
      <i/>
      <sz val="11.0"/>
      <color theme="1"/>
      <name val="Calibri"/>
    </font>
    <font>
      <b/>
      <sz val="20.0"/>
      <color rgb="FFFFFFFF"/>
      <name val="Calibri"/>
    </font>
    <font>
      <b/>
      <sz val="11.0"/>
      <color rgb="FFFFFFFF"/>
      <name val="Calibri"/>
    </font>
    <font>
      <b/>
      <sz val="16.0"/>
      <color theme="0"/>
      <name val="Calibri"/>
    </font>
    <font>
      <b/>
      <sz val="10.0"/>
      <color theme="1"/>
      <name val="Calibri"/>
    </font>
    <font>
      <b/>
      <i/>
      <sz val="11.0"/>
      <color rgb="FFFF0000"/>
      <name val="Calibri"/>
    </font>
  </fonts>
  <fills count="15">
    <fill>
      <patternFill patternType="none"/>
    </fill>
    <fill>
      <patternFill patternType="lightGray"/>
    </fill>
    <fill>
      <patternFill patternType="solid">
        <fgColor rgb="FF002060"/>
        <bgColor rgb="FF002060"/>
      </patternFill>
    </fill>
    <fill>
      <patternFill patternType="solid">
        <fgColor rgb="FF8EAADB"/>
        <bgColor rgb="FF8EAADB"/>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00FFFF"/>
        <bgColor rgb="FF00FFFF"/>
      </patternFill>
    </fill>
    <fill>
      <patternFill patternType="solid">
        <fgColor rgb="FFD9EAD3"/>
        <bgColor rgb="FFD9EAD3"/>
      </patternFill>
    </fill>
    <fill>
      <patternFill patternType="solid">
        <fgColor rgb="FFECECEC"/>
        <bgColor rgb="FFECECEC"/>
      </patternFill>
    </fill>
    <fill>
      <patternFill patternType="solid">
        <fgColor rgb="FF4472C4"/>
        <bgColor rgb="FF4472C4"/>
      </patternFill>
    </fill>
    <fill>
      <patternFill patternType="solid">
        <fgColor rgb="FFD9E2F3"/>
        <bgColor rgb="FFD9E2F3"/>
      </patternFill>
    </fill>
    <fill>
      <patternFill patternType="solid">
        <fgColor theme="9"/>
        <bgColor theme="9"/>
      </patternFill>
    </fill>
    <fill>
      <patternFill patternType="solid">
        <fgColor rgb="FFB6D7A8"/>
        <bgColor rgb="FFB6D7A8"/>
      </patternFill>
    </fill>
    <fill>
      <patternFill patternType="solid">
        <fgColor rgb="FFFFFFFF"/>
        <bgColor rgb="FFFFFFFF"/>
      </patternFill>
    </fill>
  </fills>
  <borders count="7">
    <border/>
    <border>
      <left/>
      <right/>
      <top/>
      <bottom/>
    </border>
    <border>
      <left style="thin">
        <color rgb="FF000000"/>
      </left>
      <right style="thin">
        <color rgb="FF000000"/>
      </right>
      <top style="thin">
        <color rgb="FF000000"/>
      </top>
      <bottom style="thin">
        <color rgb="FF000000"/>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1"/>
    </xf>
    <xf borderId="0" fillId="0" fontId="2" numFmtId="0" xfId="0" applyAlignment="1" applyFont="1">
      <alignment vertical="bottom"/>
    </xf>
    <xf borderId="0" fillId="0" fontId="3" numFmtId="0" xfId="0" applyAlignment="1" applyFont="1">
      <alignment vertical="bottom"/>
    </xf>
    <xf borderId="0" fillId="0" fontId="2" numFmtId="0" xfId="0" applyAlignment="1" applyFont="1">
      <alignment vertical="bottom"/>
    </xf>
    <xf borderId="0" fillId="0" fontId="2" numFmtId="3" xfId="0" applyAlignment="1" applyFont="1" applyNumberFormat="1">
      <alignment vertical="bottom"/>
    </xf>
    <xf borderId="0" fillId="0" fontId="2" numFmtId="164" xfId="0" applyAlignment="1" applyFont="1" applyNumberFormat="1">
      <alignment vertical="bottom"/>
    </xf>
    <xf borderId="0" fillId="0" fontId="2" numFmtId="165" xfId="0" applyAlignment="1" applyFont="1" applyNumberFormat="1">
      <alignment vertical="bottom"/>
    </xf>
    <xf borderId="0" fillId="0" fontId="2" numFmtId="10" xfId="0" applyAlignment="1" applyFont="1" applyNumberFormat="1">
      <alignment vertical="bottom"/>
    </xf>
    <xf borderId="0" fillId="0" fontId="2" numFmtId="0" xfId="0" applyAlignment="1" applyFont="1">
      <alignment shrinkToFit="0" vertical="bottom" wrapText="1"/>
    </xf>
    <xf borderId="0" fillId="0" fontId="2" numFmtId="0" xfId="0" applyAlignment="1" applyFont="1">
      <alignment vertical="bottom"/>
    </xf>
    <xf borderId="0" fillId="0" fontId="2" numFmtId="0" xfId="0" applyAlignment="1" applyFont="1">
      <alignment horizontal="right" vertical="bottom"/>
    </xf>
    <xf borderId="2" fillId="0" fontId="2" numFmtId="0" xfId="0" applyAlignment="1" applyBorder="1" applyFont="1">
      <alignment vertical="bottom"/>
    </xf>
    <xf borderId="2" fillId="0" fontId="2" numFmtId="0" xfId="0" applyAlignment="1" applyBorder="1" applyFont="1">
      <alignment horizontal="right" vertical="bottom"/>
    </xf>
    <xf borderId="2" fillId="0" fontId="2" numFmtId="166" xfId="0" applyAlignment="1" applyBorder="1" applyFont="1" applyNumberFormat="1">
      <alignment shrinkToFit="0" vertical="bottom" wrapText="1"/>
    </xf>
    <xf borderId="2" fillId="0" fontId="2" numFmtId="166" xfId="0" applyAlignment="1" applyBorder="1" applyFont="1" applyNumberFormat="1">
      <alignment horizontal="right" readingOrder="0" vertical="bottom"/>
    </xf>
    <xf borderId="2" fillId="0" fontId="2" numFmtId="166" xfId="0" applyAlignment="1" applyBorder="1" applyFont="1" applyNumberFormat="1">
      <alignment horizontal="right" vertical="bottom"/>
    </xf>
    <xf borderId="0" fillId="0" fontId="2" numFmtId="166" xfId="0" applyAlignment="1" applyFont="1" applyNumberFormat="1">
      <alignment vertical="bottom"/>
    </xf>
    <xf borderId="2" fillId="0" fontId="2" numFmtId="0" xfId="0" applyAlignment="1" applyBorder="1" applyFont="1">
      <alignment shrinkToFit="0" vertical="bottom" wrapText="1"/>
    </xf>
    <xf borderId="1" fillId="2" fontId="4" numFmtId="0" xfId="0" applyAlignment="1" applyBorder="1" applyFont="1">
      <alignment shrinkToFit="0" vertical="center" wrapText="1"/>
    </xf>
    <xf borderId="1" fillId="2" fontId="5" numFmtId="0" xfId="0" applyAlignment="1" applyBorder="1" applyFont="1">
      <alignment horizontal="right"/>
    </xf>
    <xf borderId="0" fillId="3" fontId="6" numFmtId="0" xfId="0" applyFill="1" applyFont="1"/>
    <xf borderId="0" fillId="0" fontId="7" numFmtId="0" xfId="0" applyFont="1"/>
    <xf borderId="0" fillId="0" fontId="2" numFmtId="164" xfId="0" applyFont="1" applyNumberFormat="1"/>
    <xf borderId="0" fillId="0" fontId="7" numFmtId="1" xfId="0" applyFont="1" applyNumberFormat="1"/>
    <xf borderId="3" fillId="0" fontId="2" numFmtId="0" xfId="0" applyBorder="1" applyFont="1"/>
    <xf borderId="3" fillId="0" fontId="2" numFmtId="164" xfId="0" applyBorder="1" applyFont="1" applyNumberFormat="1"/>
    <xf borderId="0" fillId="0" fontId="3" numFmtId="0" xfId="0" applyFont="1"/>
    <xf borderId="0" fillId="0" fontId="3" numFmtId="164" xfId="0" applyFont="1" applyNumberFormat="1"/>
    <xf borderId="0" fillId="0" fontId="2" numFmtId="0" xfId="0" applyAlignment="1" applyFont="1">
      <alignment horizontal="left"/>
    </xf>
    <xf borderId="4" fillId="0" fontId="2" numFmtId="0" xfId="0" applyAlignment="1" applyBorder="1" applyFont="1">
      <alignment horizontal="left"/>
    </xf>
    <xf borderId="4" fillId="0" fontId="2" numFmtId="164" xfId="0" applyBorder="1" applyFont="1" applyNumberFormat="1"/>
    <xf borderId="4" fillId="0" fontId="3" numFmtId="0" xfId="0" applyBorder="1" applyFont="1"/>
    <xf borderId="4" fillId="0" fontId="3" numFmtId="164" xfId="0" applyBorder="1" applyFont="1" applyNumberFormat="1"/>
    <xf borderId="5" fillId="0" fontId="3" numFmtId="0" xfId="0" applyBorder="1" applyFont="1"/>
    <xf borderId="5" fillId="0" fontId="3" numFmtId="164" xfId="0" applyBorder="1" applyFont="1" applyNumberFormat="1"/>
    <xf borderId="0" fillId="0" fontId="2" numFmtId="3" xfId="0" applyFont="1" applyNumberFormat="1"/>
    <xf borderId="0" fillId="0" fontId="8" numFmtId="0" xfId="0" applyFont="1"/>
    <xf borderId="0" fillId="0" fontId="8" numFmtId="164" xfId="0" applyFont="1" applyNumberFormat="1"/>
    <xf borderId="1" fillId="4" fontId="3" numFmtId="0" xfId="0" applyAlignment="1" applyBorder="1" applyFill="1" applyFont="1">
      <alignment horizontal="center"/>
    </xf>
    <xf borderId="0" fillId="0" fontId="3" numFmtId="0" xfId="0" applyAlignment="1" applyFont="1">
      <alignment horizontal="left"/>
    </xf>
    <xf borderId="6" fillId="0" fontId="3" numFmtId="0" xfId="0" applyAlignment="1" applyBorder="1" applyFont="1">
      <alignment horizontal="left"/>
    </xf>
    <xf borderId="6" fillId="0" fontId="3" numFmtId="164" xfId="0" applyBorder="1" applyFont="1" applyNumberFormat="1"/>
    <xf borderId="6" fillId="0" fontId="3" numFmtId="0" xfId="0" applyBorder="1" applyFont="1"/>
    <xf borderId="0" fillId="0" fontId="9" numFmtId="164" xfId="0" applyFont="1" applyNumberFormat="1"/>
    <xf borderId="0" fillId="0" fontId="10" numFmtId="10" xfId="0" applyAlignment="1" applyFont="1" applyNumberFormat="1">
      <alignment horizontal="left"/>
    </xf>
    <xf borderId="0" fillId="0" fontId="9" numFmtId="10" xfId="0" applyFont="1" applyNumberFormat="1"/>
    <xf borderId="0" fillId="0" fontId="7" numFmtId="10" xfId="0" applyFont="1" applyNumberFormat="1"/>
    <xf borderId="0" fillId="0" fontId="11" numFmtId="164" xfId="0" applyFont="1" applyNumberFormat="1"/>
    <xf borderId="0" fillId="0" fontId="11" numFmtId="167" xfId="0" applyFont="1" applyNumberFormat="1"/>
    <xf borderId="0" fillId="0" fontId="12" numFmtId="0" xfId="0" applyAlignment="1" applyFont="1">
      <alignment horizontal="left"/>
    </xf>
    <xf borderId="0" fillId="0" fontId="12" numFmtId="165" xfId="0" applyFont="1" applyNumberFormat="1"/>
    <xf borderId="0" fillId="0" fontId="2" numFmtId="10" xfId="0" applyFont="1" applyNumberFormat="1"/>
    <xf borderId="0" fillId="0" fontId="7" numFmtId="165" xfId="0" applyFont="1" applyNumberFormat="1"/>
    <xf borderId="0" fillId="0" fontId="13" numFmtId="0" xfId="0" applyAlignment="1" applyFont="1">
      <alignment horizontal="left"/>
    </xf>
    <xf borderId="0" fillId="0" fontId="13" numFmtId="165" xfId="0" applyFont="1" applyNumberFormat="1"/>
    <xf borderId="4" fillId="0" fontId="13" numFmtId="0" xfId="0" applyBorder="1" applyFont="1"/>
    <xf borderId="4" fillId="0" fontId="12" numFmtId="165" xfId="0" applyBorder="1" applyFont="1" applyNumberFormat="1"/>
    <xf borderId="0" fillId="0" fontId="3" numFmtId="10" xfId="0" applyFont="1" applyNumberFormat="1"/>
    <xf borderId="5" fillId="0" fontId="12" numFmtId="0" xfId="0" applyBorder="1" applyFont="1"/>
    <xf borderId="5" fillId="0" fontId="12" numFmtId="165" xfId="0" applyBorder="1" applyFont="1" applyNumberFormat="1"/>
    <xf borderId="0" fillId="0" fontId="6" numFmtId="10" xfId="0" applyFont="1" applyNumberFormat="1"/>
    <xf borderId="1" fillId="5" fontId="3" numFmtId="0" xfId="0" applyBorder="1" applyFill="1" applyFont="1"/>
    <xf borderId="1" fillId="6" fontId="5" numFmtId="164" xfId="0" applyAlignment="1" applyBorder="1" applyFill="1" applyFont="1" applyNumberFormat="1">
      <alignment horizontal="left"/>
    </xf>
    <xf borderId="0" fillId="7" fontId="7" numFmtId="0" xfId="0" applyAlignment="1" applyFill="1" applyFont="1">
      <alignment readingOrder="0"/>
    </xf>
    <xf borderId="0" fillId="0" fontId="10" numFmtId="164" xfId="0" applyAlignment="1" applyFont="1" applyNumberFormat="1">
      <alignment horizontal="left"/>
    </xf>
    <xf borderId="0" fillId="8" fontId="14" numFmtId="0" xfId="0" applyAlignment="1" applyFill="1" applyFont="1">
      <alignment readingOrder="0" vertical="bottom"/>
    </xf>
    <xf borderId="0" fillId="7" fontId="7" numFmtId="0" xfId="0" applyFont="1"/>
    <xf borderId="0" fillId="0" fontId="15" numFmtId="10" xfId="0" applyFont="1" applyNumberFormat="1"/>
    <xf borderId="0" fillId="0" fontId="16" numFmtId="10" xfId="0" applyFont="1" applyNumberFormat="1"/>
    <xf borderId="0" fillId="0" fontId="17" numFmtId="10" xfId="0" applyFont="1" applyNumberFormat="1"/>
    <xf borderId="0" fillId="0" fontId="18" numFmtId="0" xfId="0" applyFont="1"/>
    <xf borderId="0" fillId="0" fontId="19" numFmtId="164" xfId="0" applyAlignment="1" applyFont="1" applyNumberFormat="1">
      <alignment horizontal="left"/>
    </xf>
    <xf borderId="0" fillId="0" fontId="2" numFmtId="165" xfId="0" applyFont="1" applyNumberFormat="1"/>
    <xf borderId="1" fillId="3" fontId="3" numFmtId="164" xfId="0" applyBorder="1" applyFont="1" applyNumberFormat="1"/>
    <xf borderId="0" fillId="0" fontId="13" numFmtId="165" xfId="0" applyAlignment="1" applyFont="1" applyNumberFormat="1">
      <alignment horizontal="right"/>
    </xf>
    <xf borderId="0" fillId="0" fontId="2" numFmtId="164" xfId="0" applyAlignment="1" applyFont="1" applyNumberFormat="1">
      <alignment horizontal="left"/>
    </xf>
    <xf borderId="1" fillId="9" fontId="20" numFmtId="165" xfId="0" applyBorder="1" applyFill="1" applyFont="1" applyNumberFormat="1"/>
    <xf borderId="0" fillId="0" fontId="13" numFmtId="164" xfId="0" applyAlignment="1" applyFont="1" applyNumberFormat="1">
      <alignment horizontal="right"/>
    </xf>
    <xf borderId="0" fillId="0" fontId="6" numFmtId="0" xfId="0" applyFont="1"/>
    <xf borderId="0" fillId="0" fontId="12" numFmtId="164" xfId="0" applyAlignment="1" applyFont="1" applyNumberFormat="1">
      <alignment horizontal="right"/>
    </xf>
    <xf borderId="0" fillId="0" fontId="21" numFmtId="164" xfId="0" applyFont="1" applyNumberFormat="1"/>
    <xf borderId="0" fillId="0" fontId="22" numFmtId="164" xfId="0" applyAlignment="1" applyFont="1" applyNumberFormat="1">
      <alignment horizontal="left"/>
    </xf>
    <xf borderId="0" fillId="0" fontId="23" numFmtId="165" xfId="0" applyAlignment="1" applyFont="1" applyNumberFormat="1">
      <alignment horizontal="right"/>
    </xf>
    <xf borderId="0" fillId="0" fontId="9" numFmtId="164" xfId="0" applyAlignment="1" applyFont="1" applyNumberFormat="1">
      <alignment horizontal="left"/>
    </xf>
    <xf borderId="0" fillId="0" fontId="24" numFmtId="164" xfId="0" applyAlignment="1" applyFont="1" applyNumberFormat="1">
      <alignment horizontal="right"/>
    </xf>
    <xf borderId="0" fillId="0" fontId="25" numFmtId="164" xfId="0" applyAlignment="1" applyFont="1" applyNumberFormat="1">
      <alignment horizontal="left"/>
    </xf>
    <xf borderId="0" fillId="0" fontId="23" numFmtId="10" xfId="0" applyAlignment="1" applyFont="1" applyNumberFormat="1">
      <alignment horizontal="right"/>
    </xf>
    <xf borderId="0" fillId="0" fontId="21" numFmtId="167" xfId="0" applyFont="1" applyNumberFormat="1"/>
    <xf borderId="0" fillId="0" fontId="3" numFmtId="167" xfId="0" applyFont="1" applyNumberFormat="1"/>
    <xf borderId="0" fillId="0" fontId="7" numFmtId="164" xfId="0" applyFont="1" applyNumberFormat="1"/>
    <xf borderId="1" fillId="2" fontId="26" numFmtId="0" xfId="0" applyAlignment="1" applyBorder="1" applyFont="1">
      <alignment shrinkToFit="0" wrapText="1"/>
    </xf>
    <xf borderId="1" fillId="2" fontId="27" numFmtId="0" xfId="0" applyAlignment="1" applyBorder="1" applyFont="1">
      <alignment horizontal="right" vertical="bottom"/>
    </xf>
    <xf borderId="1" fillId="5" fontId="3" numFmtId="0" xfId="0" applyAlignment="1" applyBorder="1" applyFont="1">
      <alignment horizontal="right" vertical="bottom"/>
    </xf>
    <xf borderId="1" fillId="2" fontId="28" numFmtId="0" xfId="0" applyAlignment="1" applyBorder="1" applyFont="1">
      <alignment horizontal="center"/>
    </xf>
    <xf borderId="1" fillId="10" fontId="27" numFmtId="164" xfId="0" applyAlignment="1" applyBorder="1" applyFill="1" applyFont="1" applyNumberFormat="1">
      <alignment vertical="bottom"/>
    </xf>
    <xf borderId="1" fillId="10" fontId="2" numFmtId="164" xfId="0" applyAlignment="1" applyBorder="1" applyFont="1" applyNumberFormat="1">
      <alignment vertical="bottom"/>
    </xf>
    <xf borderId="1" fillId="5" fontId="2" numFmtId="0" xfId="0" applyAlignment="1" applyBorder="1" applyFont="1">
      <alignment vertical="bottom"/>
    </xf>
    <xf borderId="0" fillId="0" fontId="14" numFmtId="0" xfId="0" applyAlignment="1" applyFont="1">
      <alignment vertical="bottom"/>
    </xf>
    <xf borderId="0" fillId="0" fontId="10" numFmtId="164" xfId="0" applyAlignment="1" applyFont="1" applyNumberFormat="1">
      <alignment vertical="bottom"/>
    </xf>
    <xf borderId="4" fillId="0" fontId="3" numFmtId="0" xfId="0" applyAlignment="1" applyBorder="1" applyFont="1">
      <alignment vertical="bottom"/>
    </xf>
    <xf borderId="4" fillId="0" fontId="2" numFmtId="164" xfId="0" applyAlignment="1" applyBorder="1" applyFont="1" applyNumberFormat="1">
      <alignment vertical="bottom"/>
    </xf>
    <xf borderId="0" fillId="8" fontId="14" numFmtId="0" xfId="0" applyAlignment="1" applyFont="1">
      <alignment vertical="bottom"/>
    </xf>
    <xf borderId="0" fillId="0" fontId="14" numFmtId="0" xfId="0" applyAlignment="1" applyFont="1">
      <alignment readingOrder="0" vertical="bottom"/>
    </xf>
    <xf borderId="1" fillId="11" fontId="2" numFmtId="165" xfId="0" applyAlignment="1" applyBorder="1" applyFill="1" applyFont="1" applyNumberFormat="1">
      <alignment vertical="bottom"/>
    </xf>
    <xf borderId="5" fillId="0" fontId="3" numFmtId="0" xfId="0" applyAlignment="1" applyBorder="1" applyFont="1">
      <alignment vertical="bottom"/>
    </xf>
    <xf borderId="5" fillId="0" fontId="2" numFmtId="164" xfId="0" applyAlignment="1" applyBorder="1" applyFont="1" applyNumberFormat="1">
      <alignment vertical="bottom"/>
    </xf>
    <xf borderId="0" fillId="0" fontId="2" numFmtId="168" xfId="0" applyAlignment="1" applyFont="1" applyNumberFormat="1">
      <alignment vertical="bottom"/>
    </xf>
    <xf borderId="1" fillId="10" fontId="27" numFmtId="0" xfId="0" applyAlignment="1" applyBorder="1" applyFont="1">
      <alignment vertical="bottom"/>
    </xf>
    <xf borderId="0" fillId="12" fontId="14" numFmtId="0" xfId="0" applyAlignment="1" applyFill="1" applyFont="1">
      <alignment vertical="bottom"/>
    </xf>
    <xf borderId="5" fillId="0" fontId="3" numFmtId="164" xfId="0" applyAlignment="1" applyBorder="1" applyFont="1" applyNumberFormat="1">
      <alignment vertical="bottom"/>
    </xf>
    <xf borderId="0" fillId="0" fontId="29" numFmtId="0" xfId="0" applyAlignment="1" applyFont="1">
      <alignment readingOrder="0" vertical="bottom"/>
    </xf>
    <xf borderId="0" fillId="0" fontId="2" numFmtId="166" xfId="0" applyAlignment="1" applyFont="1" applyNumberFormat="1">
      <alignment horizontal="right" readingOrder="0" vertical="bottom"/>
    </xf>
    <xf borderId="0" fillId="0" fontId="16" numFmtId="0" xfId="0" applyAlignment="1" applyFont="1">
      <alignment vertical="bottom"/>
    </xf>
    <xf borderId="0" fillId="0" fontId="16" numFmtId="10" xfId="0" applyAlignment="1" applyFont="1" applyNumberFormat="1">
      <alignment vertical="bottom"/>
    </xf>
    <xf borderId="0" fillId="0" fontId="2" numFmtId="164" xfId="0" applyAlignment="1" applyFont="1" applyNumberFormat="1">
      <alignment readingOrder="0" vertical="bottom"/>
    </xf>
    <xf borderId="0" fillId="0" fontId="29" numFmtId="0" xfId="0" applyAlignment="1" applyFont="1">
      <alignment vertical="bottom"/>
    </xf>
    <xf borderId="0" fillId="0" fontId="8" numFmtId="168" xfId="0" applyAlignment="1" applyFont="1" applyNumberFormat="1">
      <alignment vertical="bottom"/>
    </xf>
    <xf borderId="0" fillId="0" fontId="3" numFmtId="164" xfId="0" applyAlignment="1" applyFont="1" applyNumberFormat="1">
      <alignment vertical="bottom"/>
    </xf>
    <xf borderId="0" fillId="13" fontId="3" numFmtId="0" xfId="0" applyAlignment="1" applyFill="1" applyFont="1">
      <alignment readingOrder="0" vertical="bottom"/>
    </xf>
    <xf borderId="0" fillId="0" fontId="16" numFmtId="10" xfId="0" applyAlignment="1" applyFont="1" applyNumberFormat="1">
      <alignment readingOrder="0" vertical="bottom"/>
    </xf>
    <xf borderId="6" fillId="0" fontId="3" numFmtId="0" xfId="0" applyAlignment="1" applyBorder="1" applyFont="1">
      <alignment vertical="bottom"/>
    </xf>
    <xf borderId="6" fillId="0" fontId="3" numFmtId="164" xfId="0" applyAlignment="1" applyBorder="1" applyFont="1" applyNumberFormat="1">
      <alignment vertical="bottom"/>
    </xf>
    <xf borderId="0" fillId="0" fontId="30" numFmtId="168" xfId="0" applyAlignment="1" applyFont="1" applyNumberFormat="1">
      <alignment readingOrder="0" vertical="bottom"/>
    </xf>
    <xf borderId="0" fillId="0" fontId="16" numFmtId="164" xfId="0" applyAlignment="1" applyFont="1" applyNumberFormat="1">
      <alignment vertical="bottom"/>
    </xf>
    <xf borderId="0" fillId="0" fontId="2" numFmtId="166" xfId="0" applyAlignment="1" applyFont="1" applyNumberFormat="1">
      <alignment horizontal="right" vertical="bottom"/>
    </xf>
    <xf borderId="0" fillId="0" fontId="13" numFmtId="0" xfId="0" applyAlignment="1" applyFont="1">
      <alignment vertical="bottom"/>
    </xf>
    <xf borderId="0" fillId="0" fontId="3" numFmtId="0" xfId="0" applyAlignment="1" applyFont="1">
      <alignment readingOrder="0" vertical="bottom"/>
    </xf>
    <xf borderId="0" fillId="14" fontId="9" numFmtId="10" xfId="0" applyFill="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86"/>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2" t="s">
        <v>1</v>
      </c>
      <c r="B2" s="2"/>
      <c r="C2" s="2"/>
      <c r="D2" s="2"/>
      <c r="E2" s="2"/>
      <c r="F2" s="2"/>
      <c r="G2" s="2"/>
      <c r="H2" s="2"/>
      <c r="I2" s="2"/>
      <c r="J2" s="2"/>
      <c r="K2" s="2"/>
      <c r="L2" s="2"/>
      <c r="M2" s="2"/>
      <c r="N2" s="2"/>
      <c r="O2" s="2"/>
      <c r="P2" s="2"/>
      <c r="Q2" s="2"/>
      <c r="R2" s="2"/>
      <c r="S2" s="2"/>
      <c r="T2" s="2"/>
      <c r="U2" s="2"/>
      <c r="V2" s="2"/>
      <c r="W2" s="2"/>
      <c r="X2" s="2"/>
      <c r="Y2" s="2"/>
      <c r="Z2" s="2"/>
    </row>
    <row r="3">
      <c r="A3" s="3" t="s">
        <v>2</v>
      </c>
      <c r="B3" s="2"/>
      <c r="C3" s="2"/>
      <c r="D3" s="2"/>
      <c r="E3" s="2"/>
      <c r="F3" s="2"/>
      <c r="G3" s="2"/>
      <c r="H3" s="2"/>
      <c r="I3" s="2"/>
      <c r="J3" s="2"/>
      <c r="K3" s="2"/>
      <c r="L3" s="2"/>
      <c r="M3" s="2"/>
      <c r="N3" s="2"/>
      <c r="O3" s="2"/>
      <c r="P3" s="2"/>
      <c r="Q3" s="2"/>
      <c r="R3" s="2"/>
      <c r="S3" s="2"/>
      <c r="T3" s="2"/>
      <c r="U3" s="2"/>
      <c r="V3" s="2"/>
      <c r="W3" s="2"/>
      <c r="X3" s="2"/>
      <c r="Y3" s="2"/>
      <c r="Z3" s="2"/>
    </row>
    <row r="4">
      <c r="A4" s="4" t="s">
        <v>3</v>
      </c>
      <c r="B4" s="5"/>
      <c r="C4" s="6"/>
      <c r="D4" s="5"/>
      <c r="E4" s="2"/>
      <c r="F4" s="2"/>
      <c r="G4" s="2"/>
      <c r="H4" s="2"/>
      <c r="I4" s="2"/>
      <c r="J4" s="2"/>
      <c r="K4" s="2"/>
      <c r="L4" s="2"/>
      <c r="M4" s="2"/>
      <c r="N4" s="2"/>
      <c r="O4" s="2"/>
      <c r="P4" s="2"/>
      <c r="Q4" s="2"/>
      <c r="R4" s="2"/>
      <c r="S4" s="2"/>
      <c r="T4" s="2"/>
      <c r="U4" s="2"/>
      <c r="V4" s="2"/>
      <c r="W4" s="2"/>
      <c r="X4" s="2"/>
      <c r="Y4" s="2"/>
      <c r="Z4" s="2"/>
    </row>
    <row r="5">
      <c r="A5" s="2" t="s">
        <v>4</v>
      </c>
      <c r="B5" s="2"/>
      <c r="C5" s="7"/>
      <c r="D5" s="8"/>
      <c r="E5" s="2"/>
      <c r="F5" s="2"/>
      <c r="G5" s="2"/>
      <c r="H5" s="2"/>
      <c r="I5" s="2"/>
      <c r="J5" s="2"/>
      <c r="K5" s="2"/>
      <c r="L5" s="2"/>
      <c r="M5" s="2"/>
      <c r="N5" s="2"/>
      <c r="O5" s="2"/>
      <c r="P5" s="2"/>
      <c r="Q5" s="2"/>
      <c r="R5" s="2"/>
      <c r="S5" s="2"/>
      <c r="T5" s="2"/>
      <c r="U5" s="2"/>
      <c r="V5" s="2"/>
      <c r="W5" s="2"/>
      <c r="X5" s="2"/>
      <c r="Y5" s="2"/>
      <c r="Z5" s="2"/>
    </row>
    <row r="6">
      <c r="A6" s="2" t="s">
        <v>5</v>
      </c>
      <c r="B6" s="5"/>
      <c r="C6" s="6"/>
      <c r="D6" s="5"/>
      <c r="E6" s="2"/>
      <c r="F6" s="2"/>
      <c r="G6" s="2"/>
      <c r="H6" s="2"/>
      <c r="I6" s="2"/>
      <c r="J6" s="2"/>
      <c r="K6" s="2"/>
      <c r="L6" s="2"/>
      <c r="M6" s="2"/>
      <c r="N6" s="2"/>
      <c r="O6" s="2"/>
      <c r="P6" s="2"/>
      <c r="Q6" s="2"/>
      <c r="R6" s="2"/>
      <c r="S6" s="2"/>
      <c r="T6" s="2"/>
      <c r="U6" s="2"/>
      <c r="V6" s="2"/>
      <c r="W6" s="2"/>
      <c r="X6" s="2"/>
      <c r="Y6" s="2"/>
      <c r="Z6" s="2"/>
    </row>
    <row r="7">
      <c r="A7" s="2" t="s">
        <v>6</v>
      </c>
      <c r="B7" s="6"/>
      <c r="C7" s="6"/>
      <c r="D7" s="2"/>
      <c r="E7" s="2"/>
      <c r="F7" s="2"/>
      <c r="G7" s="2"/>
      <c r="H7" s="2"/>
      <c r="I7" s="2"/>
      <c r="J7" s="2"/>
      <c r="K7" s="2"/>
      <c r="L7" s="2"/>
      <c r="M7" s="2"/>
      <c r="N7" s="2"/>
      <c r="O7" s="2"/>
      <c r="P7" s="2"/>
      <c r="Q7" s="2"/>
      <c r="R7" s="2"/>
      <c r="S7" s="2"/>
      <c r="T7" s="2"/>
      <c r="U7" s="2"/>
      <c r="V7" s="2"/>
      <c r="W7" s="2"/>
      <c r="X7" s="2"/>
      <c r="Y7" s="2"/>
      <c r="Z7" s="2"/>
    </row>
    <row r="8">
      <c r="A8" s="2"/>
      <c r="B8" s="6"/>
      <c r="C8" s="6"/>
      <c r="D8" s="2"/>
      <c r="E8" s="2"/>
      <c r="F8" s="2"/>
      <c r="G8" s="2"/>
      <c r="H8" s="2"/>
      <c r="I8" s="2"/>
      <c r="J8" s="2"/>
      <c r="K8" s="2"/>
      <c r="L8" s="2"/>
      <c r="M8" s="2"/>
      <c r="N8" s="2"/>
      <c r="O8" s="2"/>
      <c r="P8" s="2"/>
      <c r="Q8" s="2"/>
      <c r="R8" s="2"/>
      <c r="S8" s="2"/>
      <c r="T8" s="2"/>
      <c r="U8" s="2"/>
      <c r="V8" s="2"/>
      <c r="W8" s="2"/>
      <c r="X8" s="2"/>
      <c r="Y8" s="2"/>
      <c r="Z8" s="2"/>
    </row>
    <row r="9">
      <c r="A9" s="3" t="s">
        <v>7</v>
      </c>
      <c r="B9" s="2"/>
      <c r="C9" s="2"/>
      <c r="D9" s="2"/>
      <c r="E9" s="2"/>
      <c r="F9" s="2"/>
      <c r="G9" s="2"/>
      <c r="H9" s="2"/>
      <c r="I9" s="2"/>
      <c r="J9" s="2"/>
      <c r="K9" s="2"/>
      <c r="L9" s="2"/>
      <c r="M9" s="2"/>
      <c r="N9" s="2"/>
      <c r="O9" s="2"/>
      <c r="P9" s="2"/>
      <c r="Q9" s="2"/>
      <c r="R9" s="2"/>
      <c r="S9" s="2"/>
      <c r="T9" s="2"/>
      <c r="U9" s="2"/>
      <c r="V9" s="2"/>
      <c r="W9" s="2"/>
      <c r="X9" s="2"/>
      <c r="Y9" s="2"/>
      <c r="Z9" s="2"/>
    </row>
    <row r="10">
      <c r="A10" s="2" t="s">
        <v>8</v>
      </c>
      <c r="B10" s="2"/>
      <c r="C10" s="2"/>
      <c r="D10" s="2"/>
      <c r="E10" s="2"/>
      <c r="F10" s="2"/>
      <c r="G10" s="2"/>
      <c r="H10" s="2"/>
      <c r="I10" s="2"/>
      <c r="J10" s="2"/>
      <c r="K10" s="2"/>
      <c r="L10" s="2"/>
      <c r="M10" s="2"/>
      <c r="N10" s="2"/>
      <c r="O10" s="2"/>
      <c r="P10" s="2"/>
      <c r="Q10" s="2"/>
      <c r="R10" s="2"/>
      <c r="S10" s="2"/>
      <c r="T10" s="2"/>
      <c r="U10" s="2"/>
      <c r="V10" s="2"/>
      <c r="W10" s="2"/>
      <c r="X10" s="2"/>
      <c r="Y10" s="2"/>
      <c r="Z10" s="2"/>
    </row>
    <row r="11">
      <c r="A11" s="2" t="s">
        <v>9</v>
      </c>
      <c r="B11" s="2"/>
      <c r="C11" s="2"/>
      <c r="D11" s="2"/>
      <c r="E11" s="2"/>
      <c r="F11" s="2"/>
      <c r="G11" s="2"/>
      <c r="H11" s="2"/>
      <c r="I11" s="2"/>
      <c r="J11" s="2"/>
      <c r="K11" s="2"/>
      <c r="L11" s="2"/>
      <c r="M11" s="2"/>
      <c r="N11" s="2"/>
      <c r="O11" s="2"/>
      <c r="P11" s="2"/>
      <c r="Q11" s="2"/>
      <c r="R11" s="2"/>
      <c r="S11" s="2"/>
      <c r="T11" s="2"/>
      <c r="U11" s="2"/>
      <c r="V11" s="2"/>
      <c r="W11" s="2"/>
      <c r="X11" s="2"/>
      <c r="Y11" s="2"/>
      <c r="Z11" s="2"/>
    </row>
    <row r="12">
      <c r="A12" s="2" t="s">
        <v>10</v>
      </c>
      <c r="B12" s="2"/>
      <c r="C12" s="2"/>
      <c r="D12" s="2"/>
      <c r="E12" s="2"/>
      <c r="F12" s="2"/>
      <c r="G12" s="2"/>
      <c r="H12" s="2"/>
      <c r="I12" s="2"/>
      <c r="J12" s="2"/>
      <c r="K12" s="2"/>
      <c r="L12" s="2"/>
      <c r="M12" s="2"/>
      <c r="N12" s="2"/>
      <c r="O12" s="2"/>
      <c r="P12" s="2"/>
      <c r="Q12" s="2"/>
      <c r="R12" s="2"/>
      <c r="S12" s="2"/>
      <c r="T12" s="2"/>
      <c r="U12" s="2"/>
      <c r="V12" s="2"/>
      <c r="W12" s="2"/>
      <c r="X12" s="2"/>
      <c r="Y12" s="2"/>
      <c r="Z12" s="2"/>
    </row>
    <row r="13">
      <c r="A13" s="2" t="s">
        <v>11</v>
      </c>
      <c r="B13" s="2"/>
      <c r="C13" s="2"/>
      <c r="D13" s="2"/>
      <c r="E13" s="2"/>
      <c r="F13" s="2"/>
      <c r="G13" s="2"/>
      <c r="H13" s="2"/>
      <c r="I13" s="2"/>
      <c r="J13" s="2"/>
      <c r="K13" s="2"/>
      <c r="L13" s="2"/>
      <c r="M13" s="2"/>
      <c r="N13" s="2"/>
      <c r="O13" s="2"/>
      <c r="P13" s="2"/>
      <c r="Q13" s="2"/>
      <c r="R13" s="2"/>
      <c r="S13" s="2"/>
      <c r="T13" s="2"/>
      <c r="U13" s="2"/>
      <c r="V13" s="2"/>
      <c r="W13" s="2"/>
      <c r="X13" s="2"/>
      <c r="Y13" s="2"/>
      <c r="Z13" s="2"/>
    </row>
    <row r="14">
      <c r="A14" s="2" t="s">
        <v>12</v>
      </c>
      <c r="B14" s="2"/>
      <c r="C14" s="2"/>
      <c r="D14" s="2"/>
      <c r="E14" s="2"/>
      <c r="F14" s="2"/>
      <c r="G14" s="2"/>
      <c r="H14" s="2"/>
      <c r="I14" s="2"/>
      <c r="J14" s="2"/>
      <c r="K14" s="2"/>
      <c r="L14" s="2"/>
      <c r="M14" s="2"/>
      <c r="N14" s="2"/>
      <c r="O14" s="2"/>
      <c r="P14" s="2"/>
      <c r="Q14" s="2"/>
      <c r="R14" s="2"/>
      <c r="S14" s="2"/>
      <c r="T14" s="2"/>
      <c r="U14" s="2"/>
      <c r="V14" s="2"/>
      <c r="W14" s="2"/>
      <c r="X14" s="2"/>
      <c r="Y14" s="2"/>
      <c r="Z14" s="2"/>
    </row>
    <row r="15">
      <c r="A15" s="2" t="s">
        <v>13</v>
      </c>
      <c r="B15" s="2"/>
      <c r="C15" s="2"/>
      <c r="D15" s="2"/>
      <c r="E15" s="2"/>
      <c r="F15" s="2"/>
      <c r="G15" s="2"/>
      <c r="H15" s="2"/>
      <c r="I15" s="2"/>
      <c r="J15" s="2"/>
      <c r="K15" s="2"/>
      <c r="L15" s="2"/>
      <c r="M15" s="2"/>
      <c r="N15" s="2"/>
      <c r="O15" s="2"/>
      <c r="P15" s="2"/>
      <c r="Q15" s="2"/>
      <c r="R15" s="2"/>
      <c r="S15" s="2"/>
      <c r="T15" s="2"/>
      <c r="U15" s="2"/>
      <c r="V15" s="2"/>
      <c r="W15" s="2"/>
      <c r="X15" s="2"/>
      <c r="Y15" s="2"/>
      <c r="Z15" s="2"/>
    </row>
    <row r="16">
      <c r="A16" s="2" t="s">
        <v>14</v>
      </c>
      <c r="B16" s="2"/>
      <c r="C16" s="2"/>
      <c r="D16" s="2"/>
      <c r="E16" s="2"/>
      <c r="F16" s="2"/>
      <c r="G16" s="2"/>
      <c r="H16" s="2"/>
      <c r="I16" s="2"/>
      <c r="J16" s="2"/>
      <c r="K16" s="2"/>
      <c r="L16" s="2"/>
      <c r="M16" s="2"/>
      <c r="N16" s="2"/>
      <c r="O16" s="2"/>
      <c r="P16" s="2"/>
      <c r="Q16" s="2"/>
      <c r="R16" s="2"/>
      <c r="S16" s="2"/>
      <c r="T16" s="2"/>
      <c r="U16" s="2"/>
      <c r="V16" s="2"/>
      <c r="W16" s="2"/>
      <c r="X16" s="2"/>
      <c r="Y16" s="2"/>
      <c r="Z16" s="2"/>
    </row>
    <row r="17">
      <c r="A17" s="2" t="s">
        <v>15</v>
      </c>
      <c r="B17" s="2"/>
      <c r="C17" s="2"/>
      <c r="D17" s="2"/>
      <c r="E17" s="2"/>
      <c r="F17" s="2"/>
      <c r="G17" s="2"/>
      <c r="H17" s="2"/>
      <c r="I17" s="2"/>
      <c r="J17" s="2"/>
      <c r="K17" s="2"/>
      <c r="L17" s="2"/>
      <c r="M17" s="2"/>
      <c r="N17" s="2"/>
      <c r="O17" s="2"/>
      <c r="P17" s="2"/>
      <c r="Q17" s="2"/>
      <c r="R17" s="2"/>
      <c r="S17" s="2"/>
      <c r="T17" s="2"/>
      <c r="U17" s="2"/>
      <c r="V17" s="2"/>
      <c r="W17" s="2"/>
      <c r="X17" s="2"/>
      <c r="Y17" s="2"/>
      <c r="Z17" s="2"/>
    </row>
    <row r="18">
      <c r="A18" s="2" t="s">
        <v>16</v>
      </c>
      <c r="B18" s="2"/>
      <c r="C18" s="2"/>
      <c r="D18" s="2"/>
      <c r="E18" s="2"/>
      <c r="F18" s="2"/>
      <c r="G18" s="2"/>
      <c r="H18" s="2"/>
      <c r="I18" s="2"/>
      <c r="J18" s="2"/>
      <c r="K18" s="2"/>
      <c r="L18" s="2"/>
      <c r="M18" s="2"/>
      <c r="N18" s="2"/>
      <c r="O18" s="2"/>
      <c r="P18" s="2"/>
      <c r="Q18" s="2"/>
      <c r="R18" s="2"/>
      <c r="S18" s="2"/>
      <c r="T18" s="2"/>
      <c r="U18" s="2"/>
      <c r="V18" s="2"/>
      <c r="W18" s="2"/>
      <c r="X18" s="2"/>
      <c r="Y18" s="2"/>
      <c r="Z18" s="2"/>
    </row>
    <row r="19">
      <c r="A19" s="2" t="s">
        <v>17</v>
      </c>
      <c r="B19" s="2"/>
      <c r="C19" s="2"/>
      <c r="D19" s="2"/>
      <c r="E19" s="2"/>
      <c r="F19" s="2"/>
      <c r="G19" s="2"/>
      <c r="H19" s="2"/>
      <c r="I19" s="2"/>
      <c r="J19" s="2"/>
      <c r="K19" s="2"/>
      <c r="L19" s="2"/>
      <c r="M19" s="2"/>
      <c r="N19" s="2"/>
      <c r="O19" s="2"/>
      <c r="P19" s="2"/>
      <c r="Q19" s="2"/>
      <c r="R19" s="2"/>
      <c r="S19" s="2"/>
      <c r="T19" s="2"/>
      <c r="U19" s="2"/>
      <c r="V19" s="2"/>
      <c r="W19" s="2"/>
      <c r="X19" s="2"/>
      <c r="Y19" s="2"/>
      <c r="Z19" s="2"/>
    </row>
    <row r="20">
      <c r="A20" s="2" t="s">
        <v>18</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t="s">
        <v>19</v>
      </c>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t="s">
        <v>20</v>
      </c>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t="s">
        <v>21</v>
      </c>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9" t="s">
        <v>22</v>
      </c>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0"/>
      <c r="B1" s="10"/>
      <c r="C1" s="10"/>
      <c r="D1" s="10"/>
      <c r="E1" s="10"/>
      <c r="F1" s="10"/>
      <c r="G1" s="10"/>
      <c r="H1" s="10"/>
      <c r="I1" s="10"/>
      <c r="J1" s="10"/>
      <c r="K1" s="10"/>
      <c r="L1" s="10"/>
      <c r="M1" s="10"/>
      <c r="N1" s="10"/>
      <c r="O1" s="10"/>
      <c r="P1" s="10"/>
      <c r="Q1" s="10"/>
      <c r="R1" s="10"/>
      <c r="S1" s="10"/>
      <c r="T1" s="10"/>
      <c r="U1" s="10"/>
      <c r="V1" s="10"/>
      <c r="W1" s="10"/>
      <c r="X1" s="10"/>
      <c r="Y1" s="10"/>
      <c r="Z1" s="10"/>
    </row>
    <row r="2">
      <c r="A2" s="11">
        <v>1.0</v>
      </c>
      <c r="B2" s="10" t="s">
        <v>23</v>
      </c>
      <c r="C2" s="10"/>
      <c r="D2" s="10"/>
      <c r="E2" s="10"/>
      <c r="F2" s="10"/>
      <c r="G2" s="10"/>
      <c r="H2" s="10"/>
      <c r="I2" s="10"/>
      <c r="J2" s="10"/>
      <c r="K2" s="10"/>
      <c r="L2" s="10"/>
      <c r="M2" s="10"/>
      <c r="N2" s="10"/>
      <c r="O2" s="10"/>
      <c r="P2" s="10"/>
      <c r="Q2" s="10"/>
      <c r="R2" s="10"/>
      <c r="S2" s="10"/>
      <c r="T2" s="10"/>
      <c r="U2" s="10"/>
      <c r="V2" s="10"/>
      <c r="W2" s="10"/>
      <c r="X2" s="10"/>
      <c r="Y2" s="10"/>
      <c r="Z2" s="10"/>
    </row>
    <row r="3">
      <c r="A3" s="10"/>
      <c r="B3" s="10" t="s">
        <v>24</v>
      </c>
      <c r="C3" s="10"/>
      <c r="D3" s="10"/>
      <c r="E3" s="10"/>
      <c r="F3" s="10"/>
      <c r="G3" s="10"/>
      <c r="H3" s="10"/>
      <c r="I3" s="10"/>
      <c r="J3" s="10"/>
      <c r="K3" s="10"/>
      <c r="L3" s="10"/>
      <c r="M3" s="10"/>
      <c r="N3" s="10"/>
      <c r="O3" s="10"/>
      <c r="P3" s="10"/>
      <c r="Q3" s="10"/>
      <c r="R3" s="10"/>
      <c r="S3" s="10"/>
      <c r="T3" s="10"/>
      <c r="U3" s="10"/>
      <c r="V3" s="10"/>
      <c r="W3" s="10"/>
      <c r="X3" s="10"/>
      <c r="Y3" s="10"/>
      <c r="Z3" s="10"/>
    </row>
    <row r="4">
      <c r="A4" s="11">
        <v>2.0</v>
      </c>
      <c r="B4" s="10" t="s">
        <v>25</v>
      </c>
      <c r="C4" s="10"/>
      <c r="D4" s="10"/>
      <c r="E4" s="10"/>
      <c r="F4" s="10"/>
      <c r="G4" s="10"/>
      <c r="H4" s="10"/>
      <c r="I4" s="10"/>
      <c r="J4" s="10"/>
      <c r="K4" s="10"/>
      <c r="L4" s="10"/>
      <c r="M4" s="10"/>
      <c r="N4" s="10"/>
      <c r="O4" s="10"/>
      <c r="P4" s="10"/>
      <c r="Q4" s="10"/>
      <c r="R4" s="10"/>
      <c r="S4" s="10"/>
      <c r="T4" s="10"/>
      <c r="U4" s="10"/>
      <c r="V4" s="10"/>
      <c r="W4" s="10"/>
      <c r="X4" s="10"/>
      <c r="Y4" s="10"/>
      <c r="Z4" s="10"/>
    </row>
    <row r="5">
      <c r="A5" s="10"/>
      <c r="B5" s="10" t="s">
        <v>26</v>
      </c>
      <c r="C5" s="10"/>
      <c r="D5" s="10"/>
      <c r="E5" s="10"/>
      <c r="F5" s="10"/>
      <c r="G5" s="10"/>
      <c r="H5" s="10"/>
      <c r="I5" s="10"/>
      <c r="J5" s="10"/>
      <c r="K5" s="10"/>
      <c r="L5" s="10"/>
      <c r="M5" s="10"/>
      <c r="N5" s="10"/>
      <c r="O5" s="10"/>
      <c r="P5" s="10"/>
      <c r="Q5" s="10"/>
      <c r="R5" s="10"/>
      <c r="S5" s="10"/>
      <c r="T5" s="10"/>
      <c r="U5" s="10"/>
      <c r="V5" s="10"/>
      <c r="W5" s="10"/>
      <c r="X5" s="10"/>
      <c r="Y5" s="10"/>
      <c r="Z5" s="10"/>
    </row>
    <row r="6">
      <c r="A6" s="11">
        <v>3.0</v>
      </c>
      <c r="B6" s="10" t="s">
        <v>27</v>
      </c>
      <c r="C6" s="10"/>
      <c r="D6" s="10"/>
      <c r="E6" s="10"/>
      <c r="F6" s="10"/>
      <c r="G6" s="10"/>
      <c r="H6" s="10"/>
      <c r="I6" s="10"/>
      <c r="J6" s="10"/>
      <c r="K6" s="10"/>
      <c r="L6" s="10"/>
      <c r="M6" s="10"/>
      <c r="N6" s="10"/>
      <c r="O6" s="10"/>
      <c r="P6" s="10"/>
      <c r="Q6" s="10"/>
      <c r="R6" s="10"/>
      <c r="S6" s="10"/>
      <c r="T6" s="10"/>
      <c r="U6" s="10"/>
      <c r="V6" s="10"/>
      <c r="W6" s="10"/>
      <c r="X6" s="10"/>
      <c r="Y6" s="10"/>
      <c r="Z6" s="10"/>
    </row>
    <row r="7">
      <c r="A7" s="10"/>
      <c r="B7" s="10" t="s">
        <v>28</v>
      </c>
      <c r="C7" s="10"/>
      <c r="D7" s="10"/>
      <c r="E7" s="10"/>
      <c r="F7" s="10"/>
      <c r="G7" s="10"/>
      <c r="H7" s="10"/>
      <c r="I7" s="10"/>
      <c r="J7" s="10"/>
      <c r="K7" s="10"/>
      <c r="L7" s="10"/>
      <c r="M7" s="10"/>
      <c r="N7" s="10"/>
      <c r="O7" s="10"/>
      <c r="P7" s="10"/>
      <c r="Q7" s="10"/>
      <c r="R7" s="10"/>
      <c r="S7" s="10"/>
      <c r="T7" s="10"/>
      <c r="U7" s="10"/>
      <c r="V7" s="10"/>
      <c r="W7" s="10"/>
      <c r="X7" s="10"/>
      <c r="Y7" s="10"/>
      <c r="Z7" s="10"/>
    </row>
    <row r="8">
      <c r="A8" s="10"/>
      <c r="B8" s="10" t="s">
        <v>29</v>
      </c>
      <c r="C8" s="10"/>
      <c r="D8" s="10"/>
      <c r="E8" s="10"/>
      <c r="F8" s="10"/>
      <c r="G8" s="10"/>
      <c r="H8" s="10"/>
      <c r="I8" s="10"/>
      <c r="J8" s="10"/>
      <c r="K8" s="10"/>
      <c r="L8" s="10"/>
      <c r="M8" s="10"/>
      <c r="N8" s="10"/>
      <c r="O8" s="10"/>
      <c r="P8" s="10"/>
      <c r="Q8" s="10"/>
      <c r="R8" s="10"/>
      <c r="S8" s="10"/>
      <c r="T8" s="10"/>
      <c r="U8" s="10"/>
      <c r="V8" s="10"/>
      <c r="W8" s="10"/>
      <c r="X8" s="10"/>
      <c r="Y8" s="10"/>
      <c r="Z8" s="10"/>
    </row>
    <row r="9">
      <c r="A9" s="10"/>
      <c r="B9" s="10" t="s">
        <v>30</v>
      </c>
      <c r="C9" s="10"/>
      <c r="D9" s="10"/>
      <c r="E9" s="10"/>
      <c r="F9" s="10"/>
      <c r="G9" s="10"/>
      <c r="H9" s="10"/>
      <c r="I9" s="10"/>
      <c r="J9" s="10"/>
      <c r="K9" s="10"/>
      <c r="L9" s="10"/>
      <c r="M9" s="10"/>
      <c r="N9" s="10"/>
      <c r="O9" s="10"/>
      <c r="P9" s="10"/>
      <c r="Q9" s="10"/>
      <c r="R9" s="10"/>
      <c r="S9" s="10"/>
      <c r="T9" s="10"/>
      <c r="U9" s="10"/>
      <c r="V9" s="10"/>
      <c r="W9" s="10"/>
      <c r="X9" s="10"/>
      <c r="Y9" s="10"/>
      <c r="Z9" s="10"/>
    </row>
    <row r="10">
      <c r="A10" s="10"/>
      <c r="B10" s="10" t="s">
        <v>31</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c r="A11" s="11">
        <v>4.0</v>
      </c>
      <c r="B11" s="10" t="s">
        <v>32</v>
      </c>
      <c r="C11" s="10"/>
      <c r="D11" s="10"/>
      <c r="E11" s="10"/>
      <c r="F11" s="10"/>
      <c r="G11" s="10"/>
      <c r="H11" s="10"/>
      <c r="I11" s="10"/>
      <c r="J11" s="10"/>
      <c r="K11" s="10"/>
      <c r="L11" s="10"/>
      <c r="M11" s="10"/>
      <c r="N11" s="10"/>
      <c r="O11" s="10"/>
      <c r="P11" s="10"/>
      <c r="Q11" s="10"/>
      <c r="R11" s="10"/>
      <c r="S11" s="10"/>
      <c r="T11" s="10"/>
      <c r="U11" s="10"/>
      <c r="V11" s="10"/>
      <c r="W11" s="10"/>
      <c r="X11" s="10"/>
      <c r="Y11" s="10"/>
      <c r="Z11" s="10"/>
    </row>
    <row r="12">
      <c r="A12" s="10"/>
      <c r="B12" s="10" t="s">
        <v>33</v>
      </c>
      <c r="C12" s="10"/>
      <c r="D12" s="10"/>
      <c r="E12" s="10"/>
      <c r="F12" s="10"/>
      <c r="G12" s="10"/>
      <c r="H12" s="10"/>
      <c r="I12" s="10"/>
      <c r="J12" s="10"/>
      <c r="K12" s="10"/>
      <c r="L12" s="10"/>
      <c r="M12" s="10"/>
      <c r="N12" s="10"/>
      <c r="O12" s="10"/>
      <c r="P12" s="10"/>
      <c r="Q12" s="10"/>
      <c r="R12" s="10"/>
      <c r="S12" s="10"/>
      <c r="T12" s="10"/>
      <c r="U12" s="10"/>
      <c r="V12" s="10"/>
      <c r="W12" s="10"/>
      <c r="X12" s="10"/>
      <c r="Y12" s="10"/>
      <c r="Z12" s="10"/>
    </row>
    <row r="13">
      <c r="A13" s="10"/>
      <c r="B13" s="10" t="s">
        <v>34</v>
      </c>
      <c r="C13" s="10"/>
      <c r="D13" s="10"/>
      <c r="E13" s="10"/>
      <c r="F13" s="10"/>
      <c r="G13" s="10"/>
      <c r="H13" s="10"/>
      <c r="I13" s="10"/>
      <c r="J13" s="10"/>
      <c r="K13" s="10"/>
      <c r="L13" s="10"/>
      <c r="M13" s="10"/>
      <c r="N13" s="10"/>
      <c r="O13" s="10"/>
      <c r="P13" s="10"/>
      <c r="Q13" s="10"/>
      <c r="R13" s="10"/>
      <c r="S13" s="10"/>
      <c r="T13" s="10"/>
      <c r="U13" s="10"/>
      <c r="V13" s="10"/>
      <c r="W13" s="10"/>
      <c r="X13" s="10"/>
      <c r="Y13" s="10"/>
      <c r="Z13" s="10"/>
    </row>
    <row r="14">
      <c r="A14" s="10"/>
      <c r="B14" s="10" t="s">
        <v>35</v>
      </c>
      <c r="C14" s="10"/>
      <c r="D14" s="10"/>
      <c r="E14" s="10"/>
      <c r="F14" s="10"/>
      <c r="G14" s="10"/>
      <c r="H14" s="10"/>
      <c r="I14" s="10"/>
      <c r="J14" s="10"/>
      <c r="K14" s="10"/>
      <c r="L14" s="10"/>
      <c r="M14" s="10"/>
      <c r="N14" s="10"/>
      <c r="O14" s="10"/>
      <c r="P14" s="10"/>
      <c r="Q14" s="10"/>
      <c r="R14" s="10"/>
      <c r="S14" s="10"/>
      <c r="T14" s="10"/>
      <c r="U14" s="10"/>
      <c r="V14" s="10"/>
      <c r="W14" s="10"/>
      <c r="X14" s="10"/>
      <c r="Y14" s="10"/>
      <c r="Z14" s="10"/>
    </row>
    <row r="15">
      <c r="A15" s="10"/>
      <c r="B15" s="10" t="s">
        <v>36</v>
      </c>
      <c r="C15" s="10"/>
      <c r="D15" s="10"/>
      <c r="E15" s="10"/>
      <c r="F15" s="10"/>
      <c r="G15" s="10"/>
      <c r="H15" s="10"/>
      <c r="I15" s="10"/>
      <c r="J15" s="10"/>
      <c r="K15" s="10"/>
      <c r="L15" s="10"/>
      <c r="M15" s="10"/>
      <c r="N15" s="10"/>
      <c r="O15" s="10"/>
      <c r="P15" s="10"/>
      <c r="Q15" s="10"/>
      <c r="R15" s="10"/>
      <c r="S15" s="10"/>
      <c r="T15" s="10"/>
      <c r="U15" s="10"/>
      <c r="V15" s="10"/>
      <c r="W15" s="10"/>
      <c r="X15" s="10"/>
      <c r="Y15" s="10"/>
      <c r="Z15" s="10"/>
    </row>
    <row r="16">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c r="A18" s="12"/>
      <c r="B18" s="13">
        <v>2023.0</v>
      </c>
      <c r="C18" s="13">
        <v>2024.0</v>
      </c>
      <c r="D18" s="13">
        <v>2025.0</v>
      </c>
      <c r="E18" s="13">
        <v>2026.0</v>
      </c>
      <c r="F18" s="13">
        <v>2027.0</v>
      </c>
      <c r="G18" s="10"/>
      <c r="H18" s="10"/>
      <c r="I18" s="10"/>
      <c r="J18" s="10"/>
      <c r="K18" s="10"/>
      <c r="L18" s="10"/>
      <c r="M18" s="10"/>
      <c r="N18" s="10"/>
      <c r="O18" s="10"/>
      <c r="P18" s="10"/>
      <c r="Q18" s="10"/>
      <c r="R18" s="10"/>
      <c r="S18" s="10"/>
      <c r="T18" s="10"/>
      <c r="U18" s="10"/>
      <c r="V18" s="10"/>
      <c r="W18" s="10"/>
      <c r="X18" s="10"/>
      <c r="Y18" s="10"/>
      <c r="Z18" s="10"/>
    </row>
    <row r="19">
      <c r="A19" s="14" t="s">
        <v>37</v>
      </c>
      <c r="B19" s="15">
        <v>500.0</v>
      </c>
      <c r="C19" s="16">
        <v>0.0</v>
      </c>
      <c r="D19" s="15">
        <v>1000.0</v>
      </c>
      <c r="E19" s="16">
        <v>0.0</v>
      </c>
      <c r="F19" s="15">
        <v>2000.0</v>
      </c>
      <c r="G19" s="17"/>
      <c r="H19" s="17"/>
      <c r="I19" s="17"/>
      <c r="J19" s="17"/>
      <c r="K19" s="17"/>
      <c r="L19" s="17"/>
      <c r="M19" s="17"/>
      <c r="N19" s="17"/>
      <c r="O19" s="17"/>
      <c r="P19" s="17"/>
      <c r="Q19" s="17"/>
      <c r="R19" s="17"/>
      <c r="S19" s="17"/>
      <c r="T19" s="17"/>
      <c r="U19" s="17"/>
      <c r="V19" s="17"/>
      <c r="W19" s="17"/>
      <c r="X19" s="17"/>
      <c r="Y19" s="17"/>
      <c r="Z19" s="17"/>
    </row>
    <row r="20">
      <c r="A20" s="18"/>
      <c r="B20" s="12"/>
      <c r="C20" s="13"/>
      <c r="D20" s="12"/>
      <c r="E20" s="12"/>
      <c r="F20" s="12"/>
      <c r="G20" s="10"/>
      <c r="H20" s="10"/>
      <c r="I20" s="10"/>
      <c r="J20" s="10"/>
      <c r="K20" s="10"/>
      <c r="L20" s="10"/>
      <c r="M20" s="10"/>
      <c r="N20" s="10"/>
      <c r="O20" s="10"/>
      <c r="P20" s="10"/>
      <c r="Q20" s="10"/>
      <c r="R20" s="10"/>
      <c r="S20" s="10"/>
      <c r="T20" s="10"/>
      <c r="U20" s="10"/>
      <c r="V20" s="10"/>
      <c r="W20" s="10"/>
      <c r="X20" s="10"/>
      <c r="Y20" s="10"/>
      <c r="Z20" s="10"/>
    </row>
    <row r="21">
      <c r="A21" s="12"/>
      <c r="B21" s="13"/>
      <c r="C21" s="12"/>
      <c r="D21" s="12"/>
      <c r="E21" s="12"/>
      <c r="F21" s="12"/>
      <c r="G21" s="10"/>
      <c r="H21" s="10"/>
      <c r="I21" s="10"/>
      <c r="J21" s="10"/>
      <c r="K21" s="10"/>
      <c r="L21" s="10"/>
      <c r="M21" s="10"/>
      <c r="N21" s="10"/>
      <c r="O21" s="10"/>
      <c r="P21" s="10"/>
      <c r="Q21" s="10"/>
      <c r="R21" s="10"/>
      <c r="S21" s="10"/>
      <c r="T21" s="10"/>
      <c r="U21" s="10"/>
      <c r="V21" s="10"/>
      <c r="W21" s="10"/>
      <c r="X21" s="10"/>
      <c r="Y21" s="10"/>
      <c r="Z21" s="10"/>
    </row>
    <row r="2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99.86"/>
    <col customWidth="1" min="2" max="7" width="9.0"/>
    <col customWidth="1" min="8" max="8" width="10.43"/>
    <col customWidth="1" min="9" max="9" width="10.71"/>
    <col customWidth="1" min="10" max="25" width="8.86"/>
  </cols>
  <sheetData>
    <row r="1" ht="60.0" customHeight="1">
      <c r="A1" s="19" t="s">
        <v>38</v>
      </c>
      <c r="B1" s="20">
        <f t="shared" ref="B1:H1" si="1">+C1-1</f>
        <v>2015</v>
      </c>
      <c r="C1" s="20">
        <f t="shared" si="1"/>
        <v>2016</v>
      </c>
      <c r="D1" s="20">
        <f t="shared" si="1"/>
        <v>2017</v>
      </c>
      <c r="E1" s="20">
        <f t="shared" si="1"/>
        <v>2018</v>
      </c>
      <c r="F1" s="20">
        <f t="shared" si="1"/>
        <v>2019</v>
      </c>
      <c r="G1" s="20">
        <f t="shared" si="1"/>
        <v>2020</v>
      </c>
      <c r="H1" s="20">
        <f t="shared" si="1"/>
        <v>2021</v>
      </c>
      <c r="I1" s="20">
        <v>2022.0</v>
      </c>
      <c r="J1" s="21">
        <v>2023.0</v>
      </c>
      <c r="K1" s="21">
        <v>2024.0</v>
      </c>
      <c r="L1" s="21">
        <v>2025.0</v>
      </c>
      <c r="M1" s="21">
        <v>2026.0</v>
      </c>
      <c r="N1" s="21">
        <v>2027.0</v>
      </c>
    </row>
    <row r="2">
      <c r="A2" s="22" t="s">
        <v>39</v>
      </c>
      <c r="B2" s="23">
        <v>30601.0</v>
      </c>
      <c r="C2" s="23">
        <v>32376.0</v>
      </c>
      <c r="D2" s="23">
        <v>34350.0</v>
      </c>
      <c r="E2" s="23">
        <v>36397.0</v>
      </c>
      <c r="F2" s="23">
        <v>39117.0</v>
      </c>
      <c r="G2" s="23">
        <v>37403.0</v>
      </c>
      <c r="H2" s="23">
        <v>44538.0</v>
      </c>
      <c r="I2" s="23">
        <v>46710.0</v>
      </c>
      <c r="J2" s="24"/>
      <c r="K2" s="24"/>
      <c r="L2" s="24"/>
      <c r="M2" s="24"/>
      <c r="N2" s="24"/>
    </row>
    <row r="3">
      <c r="A3" s="25" t="s">
        <v>40</v>
      </c>
      <c r="B3" s="26">
        <v>16534.0</v>
      </c>
      <c r="C3" s="26">
        <v>17405.0</v>
      </c>
      <c r="D3" s="26">
        <v>19038.0</v>
      </c>
      <c r="E3" s="26">
        <v>20441.0</v>
      </c>
      <c r="F3" s="26">
        <v>21643.0</v>
      </c>
      <c r="G3" s="26">
        <v>21162.0</v>
      </c>
      <c r="H3" s="26">
        <v>24576.0</v>
      </c>
      <c r="I3" s="26">
        <v>25231.0</v>
      </c>
    </row>
    <row r="4">
      <c r="A4" s="27" t="s">
        <v>41</v>
      </c>
      <c r="B4" s="28">
        <f t="shared" ref="B4:I4" si="2">+B2-B3</f>
        <v>14067</v>
      </c>
      <c r="C4" s="28">
        <f t="shared" si="2"/>
        <v>14971</v>
      </c>
      <c r="D4" s="28">
        <f t="shared" si="2"/>
        <v>15312</v>
      </c>
      <c r="E4" s="28">
        <f t="shared" si="2"/>
        <v>15956</v>
      </c>
      <c r="F4" s="28">
        <f t="shared" si="2"/>
        <v>17474</v>
      </c>
      <c r="G4" s="28">
        <f t="shared" si="2"/>
        <v>16241</v>
      </c>
      <c r="H4" s="28">
        <f t="shared" si="2"/>
        <v>19962</v>
      </c>
      <c r="I4" s="28">
        <f t="shared" si="2"/>
        <v>21479</v>
      </c>
      <c r="J4" s="27"/>
      <c r="K4" s="27"/>
      <c r="L4" s="27"/>
      <c r="M4" s="27"/>
      <c r="N4" s="27"/>
      <c r="O4" s="27"/>
      <c r="P4" s="27"/>
      <c r="Q4" s="27"/>
      <c r="R4" s="27"/>
      <c r="S4" s="27"/>
      <c r="T4" s="27"/>
      <c r="U4" s="27"/>
      <c r="V4" s="27"/>
      <c r="W4" s="27"/>
      <c r="X4" s="27"/>
      <c r="Y4" s="27"/>
    </row>
    <row r="5">
      <c r="A5" s="29" t="s">
        <v>42</v>
      </c>
      <c r="B5" s="23">
        <v>3213.0</v>
      </c>
      <c r="C5" s="23">
        <v>3278.0</v>
      </c>
      <c r="D5" s="23">
        <v>3341.0</v>
      </c>
      <c r="E5" s="23">
        <v>3577.0</v>
      </c>
      <c r="F5" s="23">
        <v>3753.0</v>
      </c>
      <c r="G5" s="23">
        <v>3592.0</v>
      </c>
      <c r="H5" s="23">
        <v>3114.0</v>
      </c>
      <c r="I5" s="23">
        <v>3850.0</v>
      </c>
    </row>
    <row r="6">
      <c r="A6" s="29" t="s">
        <v>43</v>
      </c>
      <c r="B6" s="23">
        <v>6679.0</v>
      </c>
      <c r="C6" s="23">
        <v>7191.0</v>
      </c>
      <c r="D6" s="23">
        <v>7222.0</v>
      </c>
      <c r="E6" s="23">
        <v>7934.0</v>
      </c>
      <c r="F6" s="23">
        <v>8949.0</v>
      </c>
      <c r="G6" s="23">
        <v>9534.0</v>
      </c>
      <c r="H6" s="23">
        <v>9911.0</v>
      </c>
      <c r="I6" s="23">
        <v>10954.0</v>
      </c>
    </row>
    <row r="7">
      <c r="A7" s="30" t="s">
        <v>44</v>
      </c>
      <c r="B7" s="31">
        <f t="shared" ref="B7:I7" si="3">+B5+B6</f>
        <v>9892</v>
      </c>
      <c r="C7" s="31">
        <f t="shared" si="3"/>
        <v>10469</v>
      </c>
      <c r="D7" s="31">
        <f t="shared" si="3"/>
        <v>10563</v>
      </c>
      <c r="E7" s="31">
        <f t="shared" si="3"/>
        <v>11511</v>
      </c>
      <c r="F7" s="31">
        <f t="shared" si="3"/>
        <v>12702</v>
      </c>
      <c r="G7" s="31">
        <f t="shared" si="3"/>
        <v>13126</v>
      </c>
      <c r="H7" s="31">
        <f t="shared" si="3"/>
        <v>13025</v>
      </c>
      <c r="I7" s="31">
        <f t="shared" si="3"/>
        <v>14804</v>
      </c>
    </row>
    <row r="8">
      <c r="A8" s="29" t="s">
        <v>45</v>
      </c>
      <c r="B8" s="23">
        <v>28.0</v>
      </c>
      <c r="C8" s="23">
        <v>19.0</v>
      </c>
      <c r="D8" s="23">
        <v>59.0</v>
      </c>
      <c r="E8" s="23">
        <v>54.0</v>
      </c>
      <c r="F8" s="23">
        <v>49.0</v>
      </c>
      <c r="G8" s="23">
        <v>89.0</v>
      </c>
      <c r="H8" s="23">
        <v>262.0</v>
      </c>
      <c r="I8" s="23">
        <v>205.0</v>
      </c>
    </row>
    <row r="9">
      <c r="A9" s="29" t="s">
        <v>46</v>
      </c>
      <c r="B9" s="23">
        <v>-58.0</v>
      </c>
      <c r="C9" s="23">
        <v>-140.0</v>
      </c>
      <c r="D9" s="23">
        <v>-196.0</v>
      </c>
      <c r="E9" s="23">
        <v>66.0</v>
      </c>
      <c r="F9" s="23">
        <v>-78.0</v>
      </c>
      <c r="G9" s="23">
        <v>139.0</v>
      </c>
      <c r="H9" s="23">
        <v>14.0</v>
      </c>
      <c r="I9" s="23">
        <v>-181.0</v>
      </c>
    </row>
    <row r="10">
      <c r="A10" s="32" t="s">
        <v>47</v>
      </c>
      <c r="B10" s="33">
        <f t="shared" ref="B10:I10" si="4">+B4-B7-B8-B9</f>
        <v>4205</v>
      </c>
      <c r="C10" s="33">
        <f t="shared" si="4"/>
        <v>4623</v>
      </c>
      <c r="D10" s="33">
        <f t="shared" si="4"/>
        <v>4886</v>
      </c>
      <c r="E10" s="33">
        <f t="shared" si="4"/>
        <v>4325</v>
      </c>
      <c r="F10" s="33">
        <f t="shared" si="4"/>
        <v>4801</v>
      </c>
      <c r="G10" s="33">
        <f t="shared" si="4"/>
        <v>2887</v>
      </c>
      <c r="H10" s="33">
        <f t="shared" si="4"/>
        <v>6661</v>
      </c>
      <c r="I10" s="33">
        <f t="shared" si="4"/>
        <v>6651</v>
      </c>
    </row>
    <row r="11">
      <c r="A11" s="29" t="s">
        <v>48</v>
      </c>
      <c r="B11" s="23">
        <v>932.0</v>
      </c>
      <c r="C11" s="23">
        <v>863.0</v>
      </c>
      <c r="D11" s="23">
        <v>646.0</v>
      </c>
      <c r="E11" s="23">
        <v>2392.0</v>
      </c>
      <c r="F11" s="23">
        <v>772.0</v>
      </c>
      <c r="G11" s="23">
        <v>348.0</v>
      </c>
      <c r="H11" s="23">
        <v>934.0</v>
      </c>
      <c r="I11" s="23">
        <v>605.0</v>
      </c>
    </row>
    <row r="12">
      <c r="A12" s="34" t="s">
        <v>49</v>
      </c>
      <c r="B12" s="35">
        <f t="shared" ref="B12:I12" si="5">+B10-B11</f>
        <v>3273</v>
      </c>
      <c r="C12" s="35">
        <f t="shared" si="5"/>
        <v>3760</v>
      </c>
      <c r="D12" s="35">
        <f t="shared" si="5"/>
        <v>4240</v>
      </c>
      <c r="E12" s="35">
        <f t="shared" si="5"/>
        <v>1933</v>
      </c>
      <c r="F12" s="35">
        <f t="shared" si="5"/>
        <v>4029</v>
      </c>
      <c r="G12" s="35">
        <f t="shared" si="5"/>
        <v>2539</v>
      </c>
      <c r="H12" s="35">
        <f t="shared" si="5"/>
        <v>5727</v>
      </c>
      <c r="I12" s="35">
        <f t="shared" si="5"/>
        <v>6046</v>
      </c>
    </row>
    <row r="13">
      <c r="A13" s="27" t="s">
        <v>50</v>
      </c>
      <c r="H13" s="22">
        <f>1177-934</f>
        <v>243</v>
      </c>
    </row>
    <row r="14">
      <c r="A14" s="29" t="s">
        <v>51</v>
      </c>
      <c r="B14" s="22">
        <v>1.9</v>
      </c>
      <c r="C14" s="22">
        <v>2.21</v>
      </c>
      <c r="D14" s="22">
        <v>2.56</v>
      </c>
      <c r="E14" s="22">
        <v>1.19</v>
      </c>
      <c r="F14" s="22">
        <v>2.55</v>
      </c>
      <c r="G14" s="22">
        <v>1.63</v>
      </c>
      <c r="H14" s="22">
        <v>3.64</v>
      </c>
      <c r="I14" s="22">
        <v>3.83</v>
      </c>
    </row>
    <row r="15">
      <c r="A15" s="29" t="s">
        <v>52</v>
      </c>
      <c r="B15" s="22">
        <v>1.85</v>
      </c>
      <c r="C15" s="22">
        <v>2.16</v>
      </c>
      <c r="D15" s="22">
        <v>2.51</v>
      </c>
      <c r="E15" s="22">
        <v>1.17</v>
      </c>
      <c r="F15" s="22">
        <v>2.49</v>
      </c>
      <c r="G15" s="22">
        <v>1.6</v>
      </c>
      <c r="H15" s="22">
        <v>3.56</v>
      </c>
      <c r="I15" s="22">
        <v>3.75</v>
      </c>
    </row>
    <row r="16">
      <c r="A16" s="27" t="s">
        <v>53</v>
      </c>
    </row>
    <row r="17">
      <c r="A17" s="29" t="s">
        <v>51</v>
      </c>
      <c r="B17" s="22">
        <v>1723.5</v>
      </c>
      <c r="C17" s="22">
        <v>1697.9</v>
      </c>
      <c r="D17" s="22">
        <v>1657.8</v>
      </c>
      <c r="E17" s="22">
        <v>1623.8</v>
      </c>
      <c r="F17" s="22">
        <v>1579.7</v>
      </c>
      <c r="G17" s="36">
        <v>1558.8</v>
      </c>
      <c r="H17" s="36">
        <v>1573.0</v>
      </c>
      <c r="I17" s="36">
        <v>1578.8</v>
      </c>
    </row>
    <row r="18">
      <c r="A18" s="29" t="s">
        <v>52</v>
      </c>
      <c r="B18" s="22">
        <v>1768.8</v>
      </c>
      <c r="C18" s="22">
        <v>1742.5</v>
      </c>
      <c r="D18" s="22">
        <v>1692.0</v>
      </c>
      <c r="E18" s="22">
        <v>1659.1</v>
      </c>
      <c r="F18" s="22">
        <v>1618.4</v>
      </c>
      <c r="G18" s="36">
        <v>1591.6</v>
      </c>
      <c r="H18" s="36">
        <v>1609.4</v>
      </c>
      <c r="I18" s="36">
        <v>1610.8</v>
      </c>
    </row>
    <row r="20">
      <c r="A20" s="37" t="s">
        <v>54</v>
      </c>
      <c r="B20" s="38">
        <f t="shared" ref="B20:I20" si="6">+ROUND(((B12/B18)-B15),2)</f>
        <v>0</v>
      </c>
      <c r="C20" s="38">
        <f t="shared" si="6"/>
        <v>0</v>
      </c>
      <c r="D20" s="38">
        <f t="shared" si="6"/>
        <v>0</v>
      </c>
      <c r="E20" s="38">
        <f t="shared" si="6"/>
        <v>0</v>
      </c>
      <c r="F20" s="38">
        <f t="shared" si="6"/>
        <v>0</v>
      </c>
      <c r="G20" s="38">
        <f t="shared" si="6"/>
        <v>0</v>
      </c>
      <c r="H20" s="38">
        <f t="shared" si="6"/>
        <v>0</v>
      </c>
      <c r="I20" s="38">
        <f t="shared" si="6"/>
        <v>0</v>
      </c>
      <c r="J20" s="37"/>
      <c r="K20" s="37"/>
      <c r="L20" s="37"/>
      <c r="M20" s="37"/>
      <c r="N20" s="37"/>
      <c r="O20" s="37"/>
      <c r="P20" s="37"/>
      <c r="Q20" s="37"/>
      <c r="R20" s="37"/>
      <c r="S20" s="37"/>
      <c r="T20" s="37"/>
      <c r="U20" s="37"/>
      <c r="V20" s="37"/>
      <c r="W20" s="37"/>
      <c r="X20" s="37"/>
      <c r="Y20" s="37"/>
    </row>
    <row r="21" ht="15.75" customHeight="1"/>
    <row r="22" ht="15.75" customHeight="1">
      <c r="A22" s="39" t="s">
        <v>55</v>
      </c>
      <c r="B22" s="39"/>
      <c r="C22" s="39"/>
      <c r="D22" s="39"/>
      <c r="E22" s="39"/>
      <c r="F22" s="39"/>
      <c r="G22" s="39"/>
      <c r="H22" s="39"/>
      <c r="I22" s="39"/>
    </row>
    <row r="23" ht="15.75" customHeight="1">
      <c r="A23" s="27" t="s">
        <v>56</v>
      </c>
    </row>
    <row r="24" ht="15.75" customHeight="1">
      <c r="A24" s="40" t="s">
        <v>57</v>
      </c>
      <c r="B24" s="23"/>
      <c r="C24" s="23"/>
      <c r="D24" s="23"/>
      <c r="E24" s="23"/>
      <c r="F24" s="23"/>
      <c r="G24" s="23"/>
      <c r="H24" s="23"/>
      <c r="I24" s="23"/>
    </row>
    <row r="25" ht="15.75" customHeight="1">
      <c r="A25" s="29" t="s">
        <v>58</v>
      </c>
      <c r="B25" s="23">
        <v>3852.0</v>
      </c>
      <c r="C25" s="23">
        <v>3138.0</v>
      </c>
      <c r="D25" s="23">
        <v>3808.0</v>
      </c>
      <c r="E25" s="23">
        <v>4249.0</v>
      </c>
      <c r="F25" s="23">
        <v>4466.0</v>
      </c>
      <c r="G25" s="23">
        <v>8348.0</v>
      </c>
      <c r="H25" s="23">
        <v>9889.0</v>
      </c>
      <c r="I25" s="23">
        <v>8574.0</v>
      </c>
    </row>
    <row r="26" ht="15.75" customHeight="1">
      <c r="A26" s="29" t="s">
        <v>59</v>
      </c>
      <c r="B26" s="23">
        <v>2072.0</v>
      </c>
      <c r="C26" s="23">
        <v>2319.0</v>
      </c>
      <c r="D26" s="23">
        <v>2371.0</v>
      </c>
      <c r="E26" s="23">
        <v>996.0</v>
      </c>
      <c r="F26" s="23">
        <v>197.0</v>
      </c>
      <c r="G26" s="23">
        <v>439.0</v>
      </c>
      <c r="H26" s="23">
        <v>3587.0</v>
      </c>
      <c r="I26" s="23">
        <v>4423.0</v>
      </c>
    </row>
    <row r="27" ht="15.75" customHeight="1">
      <c r="A27" s="29" t="s">
        <v>60</v>
      </c>
      <c r="B27" s="23">
        <v>3358.0</v>
      </c>
      <c r="C27" s="23">
        <v>3241.0</v>
      </c>
      <c r="D27" s="23">
        <v>3677.0</v>
      </c>
      <c r="E27" s="23">
        <v>3498.0</v>
      </c>
      <c r="F27" s="23">
        <v>4272.0</v>
      </c>
      <c r="G27" s="23">
        <v>2749.0</v>
      </c>
      <c r="H27" s="23">
        <v>4463.0</v>
      </c>
      <c r="I27" s="23">
        <v>4667.0</v>
      </c>
    </row>
    <row r="28" ht="15.75" customHeight="1">
      <c r="A28" s="29" t="s">
        <v>61</v>
      </c>
      <c r="B28" s="23">
        <v>4337.0</v>
      </c>
      <c r="C28" s="23">
        <v>4838.0</v>
      </c>
      <c r="D28" s="23">
        <v>5055.0</v>
      </c>
      <c r="E28" s="23">
        <v>5261.0</v>
      </c>
      <c r="F28" s="23">
        <v>5622.0</v>
      </c>
      <c r="G28" s="23">
        <v>7367.0</v>
      </c>
      <c r="H28" s="23">
        <v>6854.0</v>
      </c>
      <c r="I28" s="23">
        <v>8420.0</v>
      </c>
    </row>
    <row r="29" ht="15.75" customHeight="1">
      <c r="A29" s="29" t="s">
        <v>62</v>
      </c>
      <c r="B29" s="23">
        <v>1968.0</v>
      </c>
      <c r="C29" s="23">
        <v>1489.0</v>
      </c>
      <c r="D29" s="23">
        <v>1150.0</v>
      </c>
      <c r="E29" s="23">
        <v>1130.0</v>
      </c>
      <c r="F29" s="23">
        <v>1968.0</v>
      </c>
      <c r="G29" s="23">
        <v>1653.0</v>
      </c>
      <c r="H29" s="23">
        <v>1498.0</v>
      </c>
      <c r="I29" s="23">
        <v>2129.0</v>
      </c>
    </row>
    <row r="30" ht="15.75" customHeight="1">
      <c r="A30" s="32" t="s">
        <v>63</v>
      </c>
      <c r="B30" s="33">
        <f t="shared" ref="B30:I30" si="7">+SUM(B25:B29)</f>
        <v>15587</v>
      </c>
      <c r="C30" s="33">
        <f t="shared" si="7"/>
        <v>15025</v>
      </c>
      <c r="D30" s="33">
        <f t="shared" si="7"/>
        <v>16061</v>
      </c>
      <c r="E30" s="33">
        <f t="shared" si="7"/>
        <v>15134</v>
      </c>
      <c r="F30" s="33">
        <f t="shared" si="7"/>
        <v>16525</v>
      </c>
      <c r="G30" s="33">
        <f t="shared" si="7"/>
        <v>20556</v>
      </c>
      <c r="H30" s="33">
        <f t="shared" si="7"/>
        <v>26291</v>
      </c>
      <c r="I30" s="33">
        <f t="shared" si="7"/>
        <v>28213</v>
      </c>
    </row>
    <row r="31" ht="15.75" customHeight="1">
      <c r="A31" s="29" t="s">
        <v>64</v>
      </c>
      <c r="B31" s="23">
        <v>3011.0</v>
      </c>
      <c r="C31" s="23">
        <v>3520.0</v>
      </c>
      <c r="D31" s="23">
        <v>3989.0</v>
      </c>
      <c r="E31" s="23">
        <v>4454.0</v>
      </c>
      <c r="F31" s="23">
        <v>4744.0</v>
      </c>
      <c r="G31" s="23">
        <v>4886.0</v>
      </c>
      <c r="H31" s="23">
        <v>4904.0</v>
      </c>
      <c r="I31" s="23">
        <v>4791.0</v>
      </c>
    </row>
    <row r="32" ht="15.75" customHeight="1">
      <c r="A32" s="29" t="s">
        <v>65</v>
      </c>
      <c r="B32" s="23"/>
      <c r="C32" s="23"/>
      <c r="D32" s="23"/>
      <c r="E32" s="23"/>
      <c r="F32" s="23"/>
      <c r="G32" s="23">
        <v>3097.0</v>
      </c>
      <c r="H32" s="23">
        <v>3113.0</v>
      </c>
      <c r="I32" s="23">
        <v>2926.0</v>
      </c>
    </row>
    <row r="33" ht="15.75" customHeight="1">
      <c r="A33" s="29" t="s">
        <v>66</v>
      </c>
      <c r="B33" s="23">
        <v>281.0</v>
      </c>
      <c r="C33" s="23">
        <v>281.0</v>
      </c>
      <c r="D33" s="23">
        <v>283.0</v>
      </c>
      <c r="E33" s="23">
        <v>285.0</v>
      </c>
      <c r="F33" s="23">
        <v>283.0</v>
      </c>
      <c r="G33" s="23">
        <v>274.0</v>
      </c>
      <c r="H33" s="23">
        <v>269.0</v>
      </c>
      <c r="I33" s="23">
        <v>286.0</v>
      </c>
    </row>
    <row r="34" ht="15.75" customHeight="1">
      <c r="A34" s="29" t="s">
        <v>67</v>
      </c>
      <c r="B34" s="23">
        <v>131.0</v>
      </c>
      <c r="C34" s="23">
        <v>131.0</v>
      </c>
      <c r="D34" s="23">
        <v>139.0</v>
      </c>
      <c r="E34" s="23">
        <v>154.0</v>
      </c>
      <c r="F34" s="23">
        <v>154.0</v>
      </c>
      <c r="G34" s="23">
        <v>223.0</v>
      </c>
      <c r="H34" s="23">
        <v>242.0</v>
      </c>
      <c r="I34" s="23">
        <v>284.0</v>
      </c>
    </row>
    <row r="35" ht="15.75" customHeight="1">
      <c r="A35" s="29" t="s">
        <v>68</v>
      </c>
      <c r="B35" s="23">
        <v>2587.0</v>
      </c>
      <c r="C35" s="23">
        <v>2439.0</v>
      </c>
      <c r="D35" s="23">
        <v>2787.0</v>
      </c>
      <c r="E35" s="23">
        <v>2509.0</v>
      </c>
      <c r="F35" s="23">
        <v>2011.0</v>
      </c>
      <c r="G35" s="23">
        <v>2326.0</v>
      </c>
      <c r="H35" s="23">
        <v>2921.0</v>
      </c>
      <c r="I35" s="23">
        <v>3821.0</v>
      </c>
    </row>
    <row r="36" ht="15.75" customHeight="1">
      <c r="A36" s="34" t="s">
        <v>69</v>
      </c>
      <c r="B36" s="35">
        <f t="shared" ref="B36:I36" si="8">+SUM(B30:B35)</f>
        <v>21597</v>
      </c>
      <c r="C36" s="35">
        <f t="shared" si="8"/>
        <v>21396</v>
      </c>
      <c r="D36" s="35">
        <f t="shared" si="8"/>
        <v>23259</v>
      </c>
      <c r="E36" s="35">
        <f t="shared" si="8"/>
        <v>22536</v>
      </c>
      <c r="F36" s="35">
        <f t="shared" si="8"/>
        <v>23717</v>
      </c>
      <c r="G36" s="35">
        <f t="shared" si="8"/>
        <v>31362</v>
      </c>
      <c r="H36" s="35">
        <f t="shared" si="8"/>
        <v>37740</v>
      </c>
      <c r="I36" s="35">
        <f t="shared" si="8"/>
        <v>40321</v>
      </c>
    </row>
    <row r="37" ht="15.75" customHeight="1">
      <c r="A37" s="27" t="s">
        <v>70</v>
      </c>
      <c r="B37" s="23"/>
      <c r="C37" s="23"/>
      <c r="D37" s="23"/>
      <c r="E37" s="23"/>
      <c r="F37" s="23"/>
      <c r="G37" s="23"/>
      <c r="H37" s="23"/>
      <c r="I37" s="23"/>
    </row>
    <row r="38" ht="15.75" customHeight="1">
      <c r="A38" s="29" t="s">
        <v>71</v>
      </c>
      <c r="B38" s="23"/>
      <c r="C38" s="23"/>
      <c r="D38" s="23"/>
      <c r="E38" s="23"/>
      <c r="F38" s="23"/>
      <c r="G38" s="23"/>
      <c r="H38" s="23"/>
      <c r="I38" s="23"/>
    </row>
    <row r="39" ht="15.75" customHeight="1">
      <c r="A39" s="29" t="s">
        <v>72</v>
      </c>
      <c r="B39" s="23">
        <v>107.0</v>
      </c>
      <c r="C39" s="23">
        <v>44.0</v>
      </c>
      <c r="D39" s="23">
        <v>6.0</v>
      </c>
      <c r="E39" s="23">
        <v>6.0</v>
      </c>
      <c r="F39" s="23">
        <v>6.0</v>
      </c>
      <c r="G39" s="23">
        <v>3.0</v>
      </c>
      <c r="H39" s="23">
        <v>0.0</v>
      </c>
      <c r="I39" s="23">
        <v>500.0</v>
      </c>
    </row>
    <row r="40" ht="15.75" customHeight="1">
      <c r="A40" s="29" t="s">
        <v>73</v>
      </c>
      <c r="B40" s="23">
        <v>74.0</v>
      </c>
      <c r="C40" s="23">
        <v>1.0</v>
      </c>
      <c r="D40" s="23">
        <v>325.0</v>
      </c>
      <c r="E40" s="23">
        <v>336.0</v>
      </c>
      <c r="F40" s="23">
        <v>9.0</v>
      </c>
      <c r="G40" s="23">
        <v>248.0</v>
      </c>
      <c r="H40" s="23">
        <v>2.0</v>
      </c>
      <c r="I40" s="23">
        <v>10.0</v>
      </c>
    </row>
    <row r="41" ht="15.75" customHeight="1">
      <c r="A41" s="29" t="s">
        <v>74</v>
      </c>
      <c r="B41" s="23">
        <v>2131.0</v>
      </c>
      <c r="C41" s="23">
        <v>2191.0</v>
      </c>
      <c r="D41" s="23">
        <v>2048.0</v>
      </c>
      <c r="E41" s="23">
        <v>2279.0</v>
      </c>
      <c r="F41" s="23">
        <v>2612.0</v>
      </c>
      <c r="G41" s="23">
        <v>2248.0</v>
      </c>
      <c r="H41" s="23">
        <v>2836.0</v>
      </c>
      <c r="I41" s="23">
        <v>3358.0</v>
      </c>
    </row>
    <row r="42" ht="15.75" customHeight="1">
      <c r="A42" s="29" t="s">
        <v>75</v>
      </c>
      <c r="B42" s="23"/>
      <c r="C42" s="23"/>
      <c r="D42" s="23"/>
      <c r="E42" s="23"/>
      <c r="F42" s="23"/>
      <c r="G42" s="23">
        <v>445.0</v>
      </c>
      <c r="H42" s="23">
        <v>467.0</v>
      </c>
      <c r="I42" s="23">
        <v>420.0</v>
      </c>
    </row>
    <row r="43" ht="15.75" customHeight="1">
      <c r="A43" s="29" t="s">
        <v>76</v>
      </c>
      <c r="B43" s="23">
        <v>3949.0</v>
      </c>
      <c r="C43" s="23">
        <v>3037.0</v>
      </c>
      <c r="D43" s="23">
        <v>3011.0</v>
      </c>
      <c r="E43" s="23">
        <v>3269.0</v>
      </c>
      <c r="F43" s="23">
        <v>5010.0</v>
      </c>
      <c r="G43" s="23">
        <v>5184.0</v>
      </c>
      <c r="H43" s="23">
        <v>6063.0</v>
      </c>
      <c r="I43" s="23">
        <v>6220.0</v>
      </c>
    </row>
    <row r="44" ht="15.75" customHeight="1">
      <c r="A44" s="29" t="s">
        <v>77</v>
      </c>
      <c r="B44" s="23">
        <v>71.0</v>
      </c>
      <c r="C44" s="23">
        <v>85.0</v>
      </c>
      <c r="D44" s="23">
        <v>84.0</v>
      </c>
      <c r="E44" s="23">
        <v>150.0</v>
      </c>
      <c r="F44" s="23">
        <v>229.0</v>
      </c>
      <c r="G44" s="23">
        <v>156.0</v>
      </c>
      <c r="H44" s="23">
        <v>306.0</v>
      </c>
      <c r="I44" s="23">
        <v>222.0</v>
      </c>
    </row>
    <row r="45" ht="15.75" customHeight="1">
      <c r="A45" s="32" t="s">
        <v>78</v>
      </c>
      <c r="B45" s="33">
        <f t="shared" ref="B45:I45" si="9">+SUM(B39:B44)</f>
        <v>6332</v>
      </c>
      <c r="C45" s="33">
        <f t="shared" si="9"/>
        <v>5358</v>
      </c>
      <c r="D45" s="33">
        <f t="shared" si="9"/>
        <v>5474</v>
      </c>
      <c r="E45" s="33">
        <f t="shared" si="9"/>
        <v>6040</v>
      </c>
      <c r="F45" s="33">
        <f t="shared" si="9"/>
        <v>7866</v>
      </c>
      <c r="G45" s="33">
        <f t="shared" si="9"/>
        <v>8284</v>
      </c>
      <c r="H45" s="33">
        <f t="shared" si="9"/>
        <v>9674</v>
      </c>
      <c r="I45" s="33">
        <f t="shared" si="9"/>
        <v>10730</v>
      </c>
    </row>
    <row r="46" ht="15.75" customHeight="1">
      <c r="A46" s="29" t="s">
        <v>79</v>
      </c>
      <c r="B46" s="23">
        <v>1079.0</v>
      </c>
      <c r="C46" s="23">
        <v>2010.0</v>
      </c>
      <c r="D46" s="23">
        <v>3471.0</v>
      </c>
      <c r="E46" s="23">
        <v>3468.0</v>
      </c>
      <c r="F46" s="23">
        <v>3464.0</v>
      </c>
      <c r="G46" s="23">
        <v>9406.0</v>
      </c>
      <c r="H46" s="23">
        <v>9413.0</v>
      </c>
      <c r="I46" s="23">
        <v>8920.0</v>
      </c>
    </row>
    <row r="47" ht="15.75" customHeight="1">
      <c r="A47" s="29" t="s">
        <v>80</v>
      </c>
      <c r="B47" s="23">
        <v>1479.0</v>
      </c>
      <c r="C47" s="23">
        <v>1770.0</v>
      </c>
      <c r="D47" s="23">
        <v>1907.0</v>
      </c>
      <c r="E47" s="23">
        <v>3216.0</v>
      </c>
      <c r="F47" s="23"/>
      <c r="G47" s="23">
        <v>2913.0</v>
      </c>
      <c r="H47" s="23">
        <v>2931.0</v>
      </c>
      <c r="I47" s="23">
        <v>2777.0</v>
      </c>
    </row>
    <row r="48" ht="15.75" customHeight="1">
      <c r="A48" s="29" t="s">
        <v>81</v>
      </c>
      <c r="B48" s="23"/>
      <c r="C48" s="23"/>
      <c r="D48" s="23"/>
      <c r="E48" s="23"/>
      <c r="F48" s="23">
        <v>3347.0</v>
      </c>
      <c r="G48" s="23">
        <v>2684.0</v>
      </c>
      <c r="H48" s="23">
        <v>2955.0</v>
      </c>
      <c r="I48" s="23">
        <v>2613.0</v>
      </c>
    </row>
    <row r="49" ht="15.75" customHeight="1">
      <c r="A49" s="29" t="s">
        <v>82</v>
      </c>
      <c r="B49" s="23"/>
      <c r="C49" s="23"/>
      <c r="D49" s="23"/>
      <c r="E49" s="23"/>
      <c r="F49" s="23"/>
      <c r="G49" s="23"/>
      <c r="H49" s="23"/>
      <c r="I49" s="23"/>
    </row>
    <row r="50" ht="15.75" customHeight="1">
      <c r="A50" s="29" t="s">
        <v>83</v>
      </c>
      <c r="B50" s="23"/>
      <c r="C50" s="23"/>
      <c r="D50" s="23"/>
      <c r="E50" s="23"/>
      <c r="F50" s="23"/>
      <c r="G50" s="23"/>
      <c r="H50" s="23">
        <v>0.0</v>
      </c>
      <c r="I50" s="23">
        <v>0.0</v>
      </c>
    </row>
    <row r="51" ht="15.75" customHeight="1">
      <c r="A51" s="29" t="s">
        <v>84</v>
      </c>
      <c r="B51" s="23"/>
      <c r="C51" s="23"/>
      <c r="D51" s="23"/>
      <c r="E51" s="23"/>
      <c r="F51" s="23"/>
      <c r="G51" s="23"/>
      <c r="H51" s="23"/>
      <c r="I51" s="23"/>
    </row>
    <row r="52" ht="15.75" customHeight="1">
      <c r="A52" s="29" t="s">
        <v>85</v>
      </c>
      <c r="B52" s="23"/>
      <c r="C52" s="23"/>
      <c r="D52" s="23"/>
      <c r="E52" s="23"/>
      <c r="F52" s="23"/>
      <c r="G52" s="23"/>
      <c r="H52" s="23"/>
      <c r="I52" s="23"/>
    </row>
    <row r="53" ht="15.75" customHeight="1">
      <c r="A53" s="29" t="s">
        <v>86</v>
      </c>
      <c r="B53" s="23"/>
      <c r="C53" s="23"/>
      <c r="D53" s="23"/>
      <c r="E53" s="23"/>
      <c r="F53" s="23"/>
      <c r="G53" s="23"/>
      <c r="H53" s="23"/>
      <c r="I53" s="23"/>
    </row>
    <row r="54" ht="15.75" customHeight="1">
      <c r="A54" s="29" t="s">
        <v>87</v>
      </c>
      <c r="B54" s="23">
        <v>3.0</v>
      </c>
      <c r="C54" s="23">
        <v>3.0</v>
      </c>
      <c r="D54" s="23">
        <v>3.0</v>
      </c>
      <c r="E54" s="23">
        <v>3.0</v>
      </c>
      <c r="F54" s="23">
        <v>3.0</v>
      </c>
      <c r="G54" s="23">
        <v>3.0</v>
      </c>
      <c r="H54" s="23">
        <v>3.0</v>
      </c>
      <c r="I54" s="23">
        <v>3.0</v>
      </c>
    </row>
    <row r="55" ht="15.75" customHeight="1">
      <c r="A55" s="29" t="s">
        <v>88</v>
      </c>
      <c r="B55" s="23">
        <v>6773.0</v>
      </c>
      <c r="C55" s="23">
        <v>7786.0</v>
      </c>
      <c r="D55" s="23">
        <v>5710.0</v>
      </c>
      <c r="E55" s="23">
        <v>6384.0</v>
      </c>
      <c r="F55" s="23">
        <v>7163.0</v>
      </c>
      <c r="G55" s="23">
        <v>8299.0</v>
      </c>
      <c r="H55" s="23">
        <v>9965.0</v>
      </c>
      <c r="I55" s="23">
        <v>11484.0</v>
      </c>
    </row>
    <row r="56" ht="15.75" customHeight="1">
      <c r="A56" s="29" t="s">
        <v>89</v>
      </c>
      <c r="B56" s="23">
        <v>1246.0</v>
      </c>
      <c r="C56" s="23">
        <v>318.0</v>
      </c>
      <c r="D56" s="23">
        <v>-213.0</v>
      </c>
      <c r="E56" s="23">
        <v>-92.0</v>
      </c>
      <c r="F56" s="23">
        <v>231.0</v>
      </c>
      <c r="G56" s="23">
        <v>-56.0</v>
      </c>
      <c r="H56" s="23">
        <v>-380.0</v>
      </c>
      <c r="I56" s="23">
        <v>318.0</v>
      </c>
    </row>
    <row r="57" ht="15.75" customHeight="1">
      <c r="A57" s="29" t="s">
        <v>90</v>
      </c>
      <c r="B57" s="23">
        <v>4685.0</v>
      </c>
      <c r="C57" s="23">
        <v>4151.0</v>
      </c>
      <c r="D57" s="23">
        <v>6907.0</v>
      </c>
      <c r="E57" s="23">
        <v>3517.0</v>
      </c>
      <c r="F57" s="23">
        <v>1643.0</v>
      </c>
      <c r="G57" s="23">
        <v>-191.0</v>
      </c>
      <c r="H57" s="23">
        <v>3179.0</v>
      </c>
      <c r="I57" s="23">
        <v>3476.0</v>
      </c>
    </row>
    <row r="58" ht="15.75" customHeight="1">
      <c r="A58" s="32" t="s">
        <v>91</v>
      </c>
      <c r="B58" s="33">
        <f t="shared" ref="B58:I58" si="10">+SUM(B53:B57)</f>
        <v>12707</v>
      </c>
      <c r="C58" s="33">
        <f t="shared" si="10"/>
        <v>12258</v>
      </c>
      <c r="D58" s="33">
        <f t="shared" si="10"/>
        <v>12407</v>
      </c>
      <c r="E58" s="33">
        <f t="shared" si="10"/>
        <v>9812</v>
      </c>
      <c r="F58" s="33">
        <f t="shared" si="10"/>
        <v>9040</v>
      </c>
      <c r="G58" s="33">
        <f t="shared" si="10"/>
        <v>8055</v>
      </c>
      <c r="H58" s="33">
        <f t="shared" si="10"/>
        <v>12767</v>
      </c>
      <c r="I58" s="33">
        <f t="shared" si="10"/>
        <v>15281</v>
      </c>
    </row>
    <row r="59" ht="15.75" customHeight="1">
      <c r="A59" s="34" t="s">
        <v>92</v>
      </c>
      <c r="B59" s="35">
        <f t="shared" ref="B59:I59" si="11">+SUM(B45:B50)+B58</f>
        <v>21597</v>
      </c>
      <c r="C59" s="35">
        <f t="shared" si="11"/>
        <v>21396</v>
      </c>
      <c r="D59" s="35">
        <f t="shared" si="11"/>
        <v>23259</v>
      </c>
      <c r="E59" s="35">
        <f t="shared" si="11"/>
        <v>22536</v>
      </c>
      <c r="F59" s="35">
        <f t="shared" si="11"/>
        <v>23717</v>
      </c>
      <c r="G59" s="35">
        <f t="shared" si="11"/>
        <v>31342</v>
      </c>
      <c r="H59" s="35">
        <f t="shared" si="11"/>
        <v>37740</v>
      </c>
      <c r="I59" s="35">
        <f t="shared" si="11"/>
        <v>40321</v>
      </c>
    </row>
    <row r="60" ht="15.75" customHeight="1">
      <c r="A60" s="37" t="s">
        <v>93</v>
      </c>
      <c r="B60" s="38">
        <f t="shared" ref="B60:I60" si="12">+B59-B36</f>
        <v>0</v>
      </c>
      <c r="C60" s="38">
        <f t="shared" si="12"/>
        <v>0</v>
      </c>
      <c r="D60" s="38">
        <f t="shared" si="12"/>
        <v>0</v>
      </c>
      <c r="E60" s="38">
        <f t="shared" si="12"/>
        <v>0</v>
      </c>
      <c r="F60" s="38">
        <f t="shared" si="12"/>
        <v>0</v>
      </c>
      <c r="G60" s="38">
        <f t="shared" si="12"/>
        <v>-20</v>
      </c>
      <c r="H60" s="38">
        <f t="shared" si="12"/>
        <v>0</v>
      </c>
      <c r="I60" s="38">
        <f t="shared" si="12"/>
        <v>0</v>
      </c>
      <c r="J60" s="37"/>
      <c r="K60" s="37"/>
      <c r="L60" s="37"/>
      <c r="M60" s="37"/>
      <c r="N60" s="37"/>
      <c r="O60" s="37"/>
      <c r="P60" s="37"/>
      <c r="Q60" s="37"/>
      <c r="R60" s="37"/>
      <c r="S60" s="37"/>
      <c r="T60" s="37"/>
      <c r="U60" s="37"/>
      <c r="V60" s="37"/>
      <c r="W60" s="37"/>
      <c r="X60" s="37"/>
      <c r="Y60" s="37"/>
    </row>
    <row r="61" ht="15.75" customHeight="1">
      <c r="A61" s="39" t="s">
        <v>94</v>
      </c>
      <c r="B61" s="39"/>
      <c r="C61" s="39"/>
      <c r="D61" s="39"/>
      <c r="E61" s="39"/>
      <c r="F61" s="39"/>
      <c r="G61" s="39"/>
      <c r="H61" s="39"/>
      <c r="I61" s="39"/>
    </row>
    <row r="62" ht="15.75" customHeight="1">
      <c r="A62" s="22" t="s">
        <v>95</v>
      </c>
    </row>
    <row r="63" ht="15.75" customHeight="1">
      <c r="A63" s="27" t="s">
        <v>96</v>
      </c>
    </row>
    <row r="64" ht="15.75" customHeight="1">
      <c r="A64" s="40" t="s">
        <v>97</v>
      </c>
      <c r="B64" s="28">
        <v>3273.0</v>
      </c>
      <c r="C64" s="28">
        <v>3760.0</v>
      </c>
      <c r="D64" s="28">
        <v>4240.0</v>
      </c>
      <c r="E64" s="28">
        <v>1933.0</v>
      </c>
      <c r="F64" s="28">
        <v>4029.0</v>
      </c>
      <c r="G64" s="28">
        <v>2539.0</v>
      </c>
      <c r="H64" s="28">
        <f t="shared" ref="H64:I64" si="13">+H12</f>
        <v>5727</v>
      </c>
      <c r="I64" s="28">
        <f t="shared" si="13"/>
        <v>6046</v>
      </c>
      <c r="J64" s="27"/>
      <c r="K64" s="27"/>
      <c r="L64" s="27"/>
      <c r="M64" s="27"/>
      <c r="N64" s="27"/>
      <c r="O64" s="27"/>
      <c r="P64" s="27"/>
      <c r="Q64" s="27"/>
      <c r="R64" s="27"/>
      <c r="S64" s="27"/>
      <c r="T64" s="27"/>
      <c r="U64" s="27"/>
      <c r="V64" s="27"/>
      <c r="W64" s="27"/>
      <c r="X64" s="27"/>
      <c r="Y64" s="27"/>
    </row>
    <row r="65" ht="15.75" customHeight="1">
      <c r="A65" s="29" t="s">
        <v>98</v>
      </c>
      <c r="B65" s="23"/>
      <c r="C65" s="23"/>
      <c r="D65" s="23"/>
      <c r="E65" s="23"/>
      <c r="F65" s="23"/>
      <c r="G65" s="23"/>
      <c r="H65" s="23"/>
      <c r="I65" s="23"/>
      <c r="J65" s="27"/>
      <c r="K65" s="27"/>
      <c r="L65" s="27"/>
      <c r="M65" s="27"/>
      <c r="N65" s="27"/>
      <c r="O65" s="27"/>
      <c r="P65" s="27"/>
      <c r="Q65" s="27"/>
      <c r="R65" s="27"/>
      <c r="S65" s="27"/>
      <c r="T65" s="27"/>
      <c r="U65" s="27"/>
      <c r="V65" s="27"/>
      <c r="W65" s="27"/>
      <c r="X65" s="27"/>
      <c r="Y65" s="27"/>
    </row>
    <row r="66" ht="15.75" customHeight="1">
      <c r="A66" s="29" t="s">
        <v>99</v>
      </c>
      <c r="B66" s="23">
        <v>606.0</v>
      </c>
      <c r="C66" s="23">
        <v>649.0</v>
      </c>
      <c r="D66" s="23">
        <v>706.0</v>
      </c>
      <c r="E66" s="23">
        <v>747.0</v>
      </c>
      <c r="F66" s="23">
        <v>705.0</v>
      </c>
      <c r="G66" s="23">
        <v>721.0</v>
      </c>
      <c r="H66" s="23">
        <v>744.0</v>
      </c>
      <c r="I66" s="23">
        <v>717.0</v>
      </c>
    </row>
    <row r="67" ht="15.75" customHeight="1">
      <c r="A67" s="29" t="s">
        <v>100</v>
      </c>
      <c r="B67" s="23">
        <v>-113.0</v>
      </c>
      <c r="C67" s="23">
        <v>-80.0</v>
      </c>
      <c r="D67" s="23">
        <v>-273.0</v>
      </c>
      <c r="E67" s="23">
        <v>647.0</v>
      </c>
      <c r="F67" s="23">
        <v>34.0</v>
      </c>
      <c r="G67" s="23">
        <v>-380.0</v>
      </c>
      <c r="H67" s="23">
        <v>-385.0</v>
      </c>
      <c r="I67" s="23">
        <v>-650.0</v>
      </c>
    </row>
    <row r="68" ht="15.75" customHeight="1">
      <c r="A68" s="29" t="s">
        <v>101</v>
      </c>
      <c r="B68" s="23">
        <v>191.0</v>
      </c>
      <c r="C68" s="23">
        <v>236.0</v>
      </c>
      <c r="D68" s="23">
        <v>215.0</v>
      </c>
      <c r="E68" s="23">
        <v>218.0</v>
      </c>
      <c r="F68" s="23">
        <v>325.0</v>
      </c>
      <c r="G68" s="23">
        <v>429.0</v>
      </c>
      <c r="H68" s="23">
        <v>611.0</v>
      </c>
      <c r="I68" s="23">
        <v>638.0</v>
      </c>
    </row>
    <row r="69" ht="15.75" customHeight="1">
      <c r="A69" s="29" t="s">
        <v>102</v>
      </c>
      <c r="B69" s="23">
        <v>43.0</v>
      </c>
      <c r="C69" s="23">
        <v>13.0</v>
      </c>
      <c r="D69" s="23">
        <v>10.0</v>
      </c>
      <c r="E69" s="23">
        <v>27.0</v>
      </c>
      <c r="F69" s="23">
        <v>15.0</v>
      </c>
      <c r="G69" s="23">
        <v>398.0</v>
      </c>
      <c r="H69" s="23">
        <v>53.0</v>
      </c>
      <c r="I69" s="23">
        <v>123.0</v>
      </c>
    </row>
    <row r="70" ht="15.75" customHeight="1">
      <c r="A70" s="29" t="s">
        <v>103</v>
      </c>
      <c r="B70" s="23">
        <v>424.0</v>
      </c>
      <c r="C70" s="23">
        <v>98.0</v>
      </c>
      <c r="D70" s="23">
        <v>-117.0</v>
      </c>
      <c r="E70" s="23">
        <v>-99.0</v>
      </c>
      <c r="F70" s="23">
        <v>233.0</v>
      </c>
      <c r="G70" s="23">
        <v>23.0</v>
      </c>
      <c r="H70" s="23">
        <v>-138.0</v>
      </c>
      <c r="I70" s="23">
        <v>-26.0</v>
      </c>
    </row>
    <row r="71" ht="15.75" customHeight="1">
      <c r="A71" s="29" t="s">
        <v>104</v>
      </c>
      <c r="B71" s="23"/>
      <c r="C71" s="23"/>
      <c r="D71" s="23"/>
      <c r="E71" s="23"/>
      <c r="F71" s="23"/>
      <c r="G71" s="23"/>
      <c r="H71" s="23"/>
      <c r="I71" s="23"/>
    </row>
    <row r="72" ht="15.75" customHeight="1">
      <c r="A72" s="29" t="s">
        <v>105</v>
      </c>
      <c r="B72" s="23">
        <v>-216.0</v>
      </c>
      <c r="C72" s="23">
        <v>60.0</v>
      </c>
      <c r="D72" s="23">
        <v>-426.0</v>
      </c>
      <c r="E72" s="23">
        <v>187.0</v>
      </c>
      <c r="F72" s="23">
        <v>-270.0</v>
      </c>
      <c r="G72" s="23">
        <v>1239.0</v>
      </c>
      <c r="H72" s="23">
        <v>-1606.0</v>
      </c>
      <c r="I72" s="23">
        <v>-504.0</v>
      </c>
    </row>
    <row r="73" ht="15.75" customHeight="1">
      <c r="A73" s="29" t="s">
        <v>106</v>
      </c>
      <c r="B73" s="23">
        <v>-621.0</v>
      </c>
      <c r="C73" s="23">
        <v>-590.0</v>
      </c>
      <c r="D73" s="23">
        <v>-231.0</v>
      </c>
      <c r="E73" s="23">
        <v>-255.0</v>
      </c>
      <c r="F73" s="23">
        <v>-490.0</v>
      </c>
      <c r="G73" s="23">
        <v>-1854.0</v>
      </c>
      <c r="H73" s="23">
        <v>507.0</v>
      </c>
      <c r="I73" s="23">
        <v>-1676.0</v>
      </c>
    </row>
    <row r="74" ht="15.75" customHeight="1">
      <c r="A74" s="29" t="s">
        <v>107</v>
      </c>
      <c r="B74" s="23">
        <v>-144.0</v>
      </c>
      <c r="C74" s="23">
        <v>-161.0</v>
      </c>
      <c r="D74" s="23">
        <v>-120.0</v>
      </c>
      <c r="E74" s="23">
        <v>35.0</v>
      </c>
      <c r="F74" s="23">
        <v>-203.0</v>
      </c>
      <c r="G74" s="23">
        <v>-654.0</v>
      </c>
      <c r="H74" s="23">
        <v>-182.0</v>
      </c>
      <c r="I74" s="23">
        <v>-845.0</v>
      </c>
    </row>
    <row r="75" ht="15.75" customHeight="1">
      <c r="A75" s="29" t="s">
        <v>108</v>
      </c>
      <c r="B75" s="23">
        <v>1237.0</v>
      </c>
      <c r="C75" s="23">
        <v>-889.0</v>
      </c>
      <c r="D75" s="23">
        <v>-158.0</v>
      </c>
      <c r="E75" s="23">
        <v>1515.0</v>
      </c>
      <c r="F75" s="23">
        <v>1525.0</v>
      </c>
      <c r="G75" s="23">
        <v>24.0</v>
      </c>
      <c r="H75" s="23">
        <v>1326.0</v>
      </c>
      <c r="I75" s="23">
        <v>1365.0</v>
      </c>
    </row>
    <row r="76" ht="15.75" customHeight="1">
      <c r="A76" s="41" t="s">
        <v>109</v>
      </c>
      <c r="B76" s="42">
        <f t="shared" ref="B76:I76" si="14">+SUM(B64:B75)</f>
        <v>4680</v>
      </c>
      <c r="C76" s="42">
        <f t="shared" si="14"/>
        <v>3096</v>
      </c>
      <c r="D76" s="42">
        <f t="shared" si="14"/>
        <v>3846</v>
      </c>
      <c r="E76" s="42">
        <f t="shared" si="14"/>
        <v>4955</v>
      </c>
      <c r="F76" s="42">
        <f t="shared" si="14"/>
        <v>5903</v>
      </c>
      <c r="G76" s="42">
        <f t="shared" si="14"/>
        <v>2485</v>
      </c>
      <c r="H76" s="42">
        <f t="shared" si="14"/>
        <v>6657</v>
      </c>
      <c r="I76" s="42">
        <f t="shared" si="14"/>
        <v>5188</v>
      </c>
    </row>
    <row r="77" ht="15.75" customHeight="1">
      <c r="A77" s="27" t="s">
        <v>110</v>
      </c>
      <c r="B77" s="23"/>
      <c r="C77" s="23"/>
      <c r="D77" s="23"/>
      <c r="E77" s="23"/>
      <c r="F77" s="23"/>
      <c r="G77" s="23"/>
      <c r="H77" s="23"/>
      <c r="I77" s="23"/>
    </row>
    <row r="78" ht="15.75" customHeight="1">
      <c r="A78" s="29" t="s">
        <v>111</v>
      </c>
      <c r="B78" s="23">
        <v>-4936.0</v>
      </c>
      <c r="C78" s="23">
        <v>-5367.0</v>
      </c>
      <c r="D78" s="23">
        <v>-5928.0</v>
      </c>
      <c r="E78" s="23">
        <v>-4783.0</v>
      </c>
      <c r="F78" s="23">
        <v>-2937.0</v>
      </c>
      <c r="G78" s="23">
        <v>-2426.0</v>
      </c>
      <c r="H78" s="23">
        <v>-9961.0</v>
      </c>
      <c r="I78" s="23">
        <v>-12913.0</v>
      </c>
    </row>
    <row r="79" ht="15.75" customHeight="1">
      <c r="A79" s="29" t="s">
        <v>112</v>
      </c>
      <c r="B79" s="23">
        <v>3655.0</v>
      </c>
      <c r="C79" s="23">
        <v>2924.0</v>
      </c>
      <c r="D79" s="23">
        <v>3623.0</v>
      </c>
      <c r="E79" s="23">
        <v>3613.0</v>
      </c>
      <c r="F79" s="23">
        <v>1715.0</v>
      </c>
      <c r="G79" s="23">
        <v>74.0</v>
      </c>
      <c r="H79" s="23">
        <v>4236.0</v>
      </c>
      <c r="I79" s="23">
        <v>8199.0</v>
      </c>
    </row>
    <row r="80" ht="15.75" customHeight="1">
      <c r="A80" s="29" t="s">
        <v>113</v>
      </c>
      <c r="B80" s="23">
        <v>2216.0</v>
      </c>
      <c r="C80" s="23">
        <v>2386.0</v>
      </c>
      <c r="D80" s="23">
        <v>2423.0</v>
      </c>
      <c r="E80" s="23">
        <v>2496.0</v>
      </c>
      <c r="F80" s="23">
        <v>2072.0</v>
      </c>
      <c r="G80" s="23">
        <v>2379.0</v>
      </c>
      <c r="H80" s="23">
        <v>2449.0</v>
      </c>
      <c r="I80" s="23">
        <v>3967.0</v>
      </c>
    </row>
    <row r="81" ht="15.75" customHeight="1">
      <c r="A81" s="29" t="s">
        <v>114</v>
      </c>
      <c r="B81" s="23">
        <v>-150.0</v>
      </c>
      <c r="C81" s="23">
        <v>150.0</v>
      </c>
      <c r="D81" s="23"/>
      <c r="E81" s="23"/>
      <c r="F81" s="23"/>
      <c r="G81" s="23"/>
      <c r="H81" s="23"/>
      <c r="I81" s="23"/>
    </row>
    <row r="82" ht="15.75" customHeight="1">
      <c r="A82" s="29" t="s">
        <v>115</v>
      </c>
      <c r="B82" s="23">
        <v>-963.0</v>
      </c>
      <c r="C82" s="23">
        <v>-1143.0</v>
      </c>
      <c r="D82" s="23">
        <v>-1105.0</v>
      </c>
      <c r="E82" s="23">
        <v>-1028.0</v>
      </c>
      <c r="F82" s="23">
        <v>-1119.0</v>
      </c>
      <c r="G82" s="23">
        <v>-1086.0</v>
      </c>
      <c r="H82" s="23">
        <v>-695.0</v>
      </c>
      <c r="I82" s="23">
        <v>-758.0</v>
      </c>
    </row>
    <row r="83" ht="15.75" customHeight="1">
      <c r="A83" s="29" t="s">
        <v>116</v>
      </c>
      <c r="B83" s="23">
        <v>3.0</v>
      </c>
      <c r="C83" s="23">
        <v>10.0</v>
      </c>
      <c r="D83" s="23">
        <v>13.0</v>
      </c>
      <c r="E83" s="23">
        <v>3.0</v>
      </c>
      <c r="F83" s="23"/>
      <c r="G83" s="23"/>
      <c r="H83" s="23"/>
      <c r="I83" s="23"/>
    </row>
    <row r="84" ht="15.75" customHeight="1">
      <c r="A84" s="29" t="s">
        <v>117</v>
      </c>
      <c r="B84" s="23"/>
      <c r="C84" s="23">
        <v>6.0</v>
      </c>
      <c r="D84" s="23">
        <v>-34.0</v>
      </c>
      <c r="E84" s="23">
        <v>-25.0</v>
      </c>
      <c r="F84" s="23">
        <v>5.0</v>
      </c>
      <c r="G84" s="23">
        <v>31.0</v>
      </c>
      <c r="H84" s="23">
        <v>171.0</v>
      </c>
      <c r="I84" s="23">
        <v>-19.0</v>
      </c>
    </row>
    <row r="85" ht="15.75" customHeight="1">
      <c r="A85" s="43" t="s">
        <v>118</v>
      </c>
      <c r="B85" s="42">
        <f t="shared" ref="B85:I85" si="15">+SUM(B78:B84)</f>
        <v>-175</v>
      </c>
      <c r="C85" s="42">
        <f t="shared" si="15"/>
        <v>-1034</v>
      </c>
      <c r="D85" s="42">
        <f t="shared" si="15"/>
        <v>-1008</v>
      </c>
      <c r="E85" s="42">
        <f t="shared" si="15"/>
        <v>276</v>
      </c>
      <c r="F85" s="42">
        <f t="shared" si="15"/>
        <v>-264</v>
      </c>
      <c r="G85" s="42">
        <f t="shared" si="15"/>
        <v>-1028</v>
      </c>
      <c r="H85" s="42">
        <f t="shared" si="15"/>
        <v>-3800</v>
      </c>
      <c r="I85" s="42">
        <f t="shared" si="15"/>
        <v>-1524</v>
      </c>
    </row>
    <row r="86" ht="15.75" customHeight="1">
      <c r="A86" s="27" t="s">
        <v>119</v>
      </c>
      <c r="B86" s="23"/>
      <c r="C86" s="23"/>
      <c r="D86" s="23"/>
      <c r="E86" s="23"/>
      <c r="F86" s="23"/>
      <c r="G86" s="23"/>
      <c r="H86" s="23"/>
      <c r="I86" s="23"/>
    </row>
    <row r="87" ht="15.75" customHeight="1">
      <c r="A87" s="29" t="s">
        <v>120</v>
      </c>
      <c r="B87" s="23"/>
      <c r="C87" s="23">
        <v>981.0</v>
      </c>
      <c r="D87" s="23">
        <v>1482.0</v>
      </c>
      <c r="E87" s="23"/>
      <c r="F87" s="23"/>
      <c r="G87" s="23">
        <v>6134.0</v>
      </c>
      <c r="H87" s="23">
        <v>0.0</v>
      </c>
      <c r="I87" s="23">
        <v>0.0</v>
      </c>
    </row>
    <row r="88" ht="15.75" customHeight="1">
      <c r="A88" s="29" t="s">
        <v>121</v>
      </c>
      <c r="B88" s="23">
        <v>-7.0</v>
      </c>
      <c r="C88" s="23">
        <v>-106.0</v>
      </c>
      <c r="D88" s="23">
        <v>-44.0</v>
      </c>
      <c r="E88" s="23">
        <v>-6.0</v>
      </c>
      <c r="F88" s="23"/>
      <c r="G88" s="23"/>
      <c r="H88" s="23"/>
      <c r="I88" s="23"/>
      <c r="J88" s="16"/>
      <c r="K88" s="16"/>
      <c r="L88" s="16"/>
      <c r="M88" s="16"/>
      <c r="N88" s="16"/>
    </row>
    <row r="89" ht="15.75" customHeight="1">
      <c r="A89" s="29" t="s">
        <v>122</v>
      </c>
      <c r="B89" s="23">
        <v>-63.0</v>
      </c>
      <c r="C89" s="23">
        <v>-67.0</v>
      </c>
      <c r="D89" s="23">
        <v>327.0</v>
      </c>
      <c r="E89" s="23">
        <v>13.0</v>
      </c>
      <c r="F89" s="23">
        <v>-325.0</v>
      </c>
      <c r="G89" s="23">
        <v>49.0</v>
      </c>
      <c r="H89" s="23">
        <v>-52.0</v>
      </c>
      <c r="I89" s="23">
        <v>15.0</v>
      </c>
    </row>
    <row r="90" ht="15.75" customHeight="1">
      <c r="A90" s="29" t="s">
        <v>123</v>
      </c>
      <c r="B90" s="23">
        <v>-19.0</v>
      </c>
      <c r="C90" s="23">
        <v>-7.0</v>
      </c>
      <c r="D90" s="23">
        <v>-17.0</v>
      </c>
      <c r="E90" s="23">
        <v>-23.0</v>
      </c>
      <c r="F90" s="23"/>
      <c r="G90" s="23"/>
      <c r="H90" s="23">
        <v>-197.0</v>
      </c>
      <c r="I90" s="23">
        <v>0.0</v>
      </c>
    </row>
    <row r="91" ht="15.75" customHeight="1">
      <c r="A91" s="29" t="s">
        <v>124</v>
      </c>
      <c r="B91" s="23">
        <v>514.0</v>
      </c>
      <c r="C91" s="23">
        <v>507.0</v>
      </c>
      <c r="D91" s="23">
        <v>489.0</v>
      </c>
      <c r="E91" s="23">
        <v>733.0</v>
      </c>
      <c r="F91" s="23">
        <v>700.0</v>
      </c>
      <c r="G91" s="23">
        <v>885.0</v>
      </c>
      <c r="H91" s="23">
        <v>1172.0</v>
      </c>
      <c r="I91" s="23">
        <v>1151.0</v>
      </c>
    </row>
    <row r="92" ht="15.75" customHeight="1">
      <c r="A92" s="29" t="s">
        <v>125</v>
      </c>
      <c r="B92" s="23">
        <v>218.0</v>
      </c>
      <c r="C92" s="23">
        <v>281.0</v>
      </c>
      <c r="D92" s="23">
        <v>177.0</v>
      </c>
      <c r="E92" s="23"/>
      <c r="F92" s="23"/>
      <c r="G92" s="23"/>
      <c r="H92" s="23"/>
      <c r="I92" s="23"/>
    </row>
    <row r="93" ht="15.75" customHeight="1">
      <c r="A93" s="29" t="s">
        <v>126</v>
      </c>
      <c r="B93" s="23">
        <v>218.0</v>
      </c>
      <c r="C93" s="23">
        <v>-3238.0</v>
      </c>
      <c r="D93" s="23">
        <v>-3223.0</v>
      </c>
      <c r="E93" s="23">
        <v>-4254.0</v>
      </c>
      <c r="F93" s="23">
        <v>-4286.0</v>
      </c>
      <c r="G93" s="23">
        <v>-3067.0</v>
      </c>
      <c r="H93" s="23">
        <v>-608.0</v>
      </c>
      <c r="I93" s="23">
        <v>-4014.0</v>
      </c>
    </row>
    <row r="94" ht="15.75" customHeight="1">
      <c r="A94" s="29" t="s">
        <v>127</v>
      </c>
      <c r="B94" s="23">
        <v>-2534.0</v>
      </c>
      <c r="C94" s="23">
        <v>-1022.0</v>
      </c>
      <c r="D94" s="23">
        <v>-1133.0</v>
      </c>
      <c r="E94" s="23">
        <v>-1243.0</v>
      </c>
      <c r="F94" s="23">
        <v>-1332.0</v>
      </c>
      <c r="G94" s="23">
        <v>-1452.0</v>
      </c>
      <c r="H94" s="23">
        <v>-1638.0</v>
      </c>
      <c r="I94" s="23">
        <v>-1837.0</v>
      </c>
    </row>
    <row r="95" ht="15.75" customHeight="1">
      <c r="A95" s="29" t="s">
        <v>128</v>
      </c>
      <c r="B95" s="23">
        <v>-899.0</v>
      </c>
      <c r="C95" s="23">
        <v>-22.0</v>
      </c>
      <c r="D95" s="23">
        <v>-29.0</v>
      </c>
      <c r="E95" s="23">
        <v>-55.0</v>
      </c>
      <c r="F95" s="23">
        <v>-50.0</v>
      </c>
      <c r="G95" s="23">
        <v>-58.0</v>
      </c>
      <c r="H95" s="23">
        <v>-136.0</v>
      </c>
      <c r="I95" s="23">
        <v>-151.0</v>
      </c>
    </row>
    <row r="96" ht="15.75" customHeight="1">
      <c r="A96" s="43" t="s">
        <v>129</v>
      </c>
      <c r="B96" s="42">
        <f t="shared" ref="B96:I96" si="16">+SUM(B87:B95)</f>
        <v>-2572</v>
      </c>
      <c r="C96" s="42">
        <f t="shared" si="16"/>
        <v>-2693</v>
      </c>
      <c r="D96" s="42">
        <f t="shared" si="16"/>
        <v>-1971</v>
      </c>
      <c r="E96" s="42">
        <f t="shared" si="16"/>
        <v>-4835</v>
      </c>
      <c r="F96" s="42">
        <f t="shared" si="16"/>
        <v>-5293</v>
      </c>
      <c r="G96" s="42">
        <f t="shared" si="16"/>
        <v>2491</v>
      </c>
      <c r="H96" s="42">
        <f t="shared" si="16"/>
        <v>-1459</v>
      </c>
      <c r="I96" s="42">
        <f t="shared" si="16"/>
        <v>-4836</v>
      </c>
    </row>
    <row r="97" ht="15.75" customHeight="1">
      <c r="A97" s="29" t="s">
        <v>130</v>
      </c>
      <c r="B97" s="23">
        <v>-83.0</v>
      </c>
      <c r="C97" s="23">
        <v>-105.0</v>
      </c>
      <c r="D97" s="23">
        <v>-20.0</v>
      </c>
      <c r="E97" s="23">
        <v>45.0</v>
      </c>
      <c r="F97" s="23">
        <v>-129.0</v>
      </c>
      <c r="G97" s="23">
        <v>-66.0</v>
      </c>
      <c r="H97" s="23">
        <v>143.0</v>
      </c>
      <c r="I97" s="23">
        <v>-143.0</v>
      </c>
    </row>
    <row r="98" ht="15.75" customHeight="1">
      <c r="A98" s="43" t="s">
        <v>131</v>
      </c>
      <c r="B98" s="42">
        <f t="shared" ref="B98:I98" si="17">+B76+B85+B96+B97</f>
        <v>1850</v>
      </c>
      <c r="C98" s="42">
        <f t="shared" si="17"/>
        <v>-736</v>
      </c>
      <c r="D98" s="42">
        <f t="shared" si="17"/>
        <v>847</v>
      </c>
      <c r="E98" s="42">
        <f t="shared" si="17"/>
        <v>441</v>
      </c>
      <c r="F98" s="42">
        <f t="shared" si="17"/>
        <v>217</v>
      </c>
      <c r="G98" s="42">
        <f t="shared" si="17"/>
        <v>3882</v>
      </c>
      <c r="H98" s="42">
        <f t="shared" si="17"/>
        <v>1541</v>
      </c>
      <c r="I98" s="42">
        <f t="shared" si="17"/>
        <v>-1315</v>
      </c>
    </row>
    <row r="99" ht="15.75" customHeight="1">
      <c r="A99" s="22" t="s">
        <v>132</v>
      </c>
      <c r="B99" s="23">
        <v>2220.0</v>
      </c>
      <c r="C99" s="23">
        <v>3852.0</v>
      </c>
      <c r="D99" s="23">
        <v>3138.0</v>
      </c>
      <c r="E99" s="23">
        <v>3808.0</v>
      </c>
      <c r="F99" s="23">
        <v>4249.0</v>
      </c>
      <c r="G99" s="23">
        <v>4466.0</v>
      </c>
      <c r="H99" s="23">
        <v>8348.0</v>
      </c>
      <c r="I99" s="23">
        <f>+H100</f>
        <v>9889</v>
      </c>
    </row>
    <row r="100" ht="15.75" customHeight="1">
      <c r="A100" s="34" t="s">
        <v>133</v>
      </c>
      <c r="B100" s="35">
        <v>3852.0</v>
      </c>
      <c r="C100" s="35">
        <v>3138.0</v>
      </c>
      <c r="D100" s="35">
        <v>3808.0</v>
      </c>
      <c r="E100" s="35">
        <v>4249.0</v>
      </c>
      <c r="F100" s="35">
        <v>4466.0</v>
      </c>
      <c r="G100" s="35">
        <v>8348.0</v>
      </c>
      <c r="H100" s="35">
        <f t="shared" ref="H100:I100" si="18">+H98+H99</f>
        <v>9889</v>
      </c>
      <c r="I100" s="35">
        <f t="shared" si="18"/>
        <v>8574</v>
      </c>
    </row>
    <row r="101" ht="15.75" customHeight="1">
      <c r="A101" s="37" t="s">
        <v>134</v>
      </c>
      <c r="B101" s="38">
        <f t="shared" ref="B101:I101" si="19">+B100-B25</f>
        <v>0</v>
      </c>
      <c r="C101" s="38">
        <f t="shared" si="19"/>
        <v>0</v>
      </c>
      <c r="D101" s="38">
        <f t="shared" si="19"/>
        <v>0</v>
      </c>
      <c r="E101" s="38">
        <f t="shared" si="19"/>
        <v>0</v>
      </c>
      <c r="F101" s="38">
        <f t="shared" si="19"/>
        <v>0</v>
      </c>
      <c r="G101" s="38">
        <f t="shared" si="19"/>
        <v>0</v>
      </c>
      <c r="H101" s="38">
        <f t="shared" si="19"/>
        <v>0</v>
      </c>
      <c r="I101" s="38">
        <f t="shared" si="19"/>
        <v>0</v>
      </c>
      <c r="J101" s="37"/>
      <c r="K101" s="37"/>
      <c r="L101" s="37"/>
      <c r="M101" s="37"/>
      <c r="N101" s="37"/>
      <c r="O101" s="37"/>
      <c r="P101" s="37"/>
      <c r="Q101" s="37"/>
      <c r="R101" s="37"/>
      <c r="S101" s="37"/>
      <c r="T101" s="37"/>
      <c r="U101" s="37"/>
      <c r="V101" s="37"/>
      <c r="W101" s="37"/>
      <c r="X101" s="37"/>
      <c r="Y101" s="37"/>
    </row>
    <row r="102" ht="15.75" customHeight="1">
      <c r="A102" s="22" t="s">
        <v>135</v>
      </c>
      <c r="B102" s="23"/>
      <c r="C102" s="23"/>
      <c r="D102" s="23"/>
      <c r="E102" s="23"/>
      <c r="F102" s="23"/>
      <c r="G102" s="23"/>
      <c r="H102" s="23"/>
      <c r="I102" s="23"/>
    </row>
    <row r="103" ht="15.75" customHeight="1">
      <c r="A103" s="29" t="s">
        <v>136</v>
      </c>
      <c r="B103" s="23"/>
      <c r="C103" s="23"/>
      <c r="D103" s="23"/>
      <c r="E103" s="23"/>
      <c r="F103" s="23"/>
      <c r="G103" s="23"/>
      <c r="H103" s="23"/>
      <c r="I103" s="23"/>
    </row>
    <row r="104" ht="15.75" customHeight="1">
      <c r="A104" s="29" t="s">
        <v>137</v>
      </c>
      <c r="B104" s="44">
        <v>53.0</v>
      </c>
      <c r="C104" s="44">
        <v>70.0</v>
      </c>
      <c r="D104" s="44">
        <v>98.0</v>
      </c>
      <c r="E104" s="44">
        <v>125.0</v>
      </c>
      <c r="F104" s="44">
        <v>153.0</v>
      </c>
      <c r="G104" s="44">
        <v>140.0</v>
      </c>
      <c r="H104" s="23">
        <v>293.0</v>
      </c>
      <c r="I104" s="23">
        <v>290.0</v>
      </c>
      <c r="J104" s="24"/>
      <c r="K104" s="24"/>
      <c r="L104" s="24"/>
      <c r="M104" s="24"/>
      <c r="N104" s="24"/>
    </row>
    <row r="105" ht="15.75" customHeight="1">
      <c r="A105" s="45" t="s">
        <v>138</v>
      </c>
      <c r="B105" s="46"/>
      <c r="C105" s="46">
        <f t="shared" ref="C105:I105" si="20">+IFERROR(C104/B104-1,"nm")</f>
        <v>0.320754717</v>
      </c>
      <c r="D105" s="46">
        <f t="shared" si="20"/>
        <v>0.4</v>
      </c>
      <c r="E105" s="46">
        <f t="shared" si="20"/>
        <v>0.2755102041</v>
      </c>
      <c r="F105" s="46">
        <f t="shared" si="20"/>
        <v>0.224</v>
      </c>
      <c r="G105" s="46">
        <f t="shared" si="20"/>
        <v>-0.08496732026</v>
      </c>
      <c r="H105" s="46">
        <f t="shared" si="20"/>
        <v>1.092857143</v>
      </c>
      <c r="I105" s="46">
        <f t="shared" si="20"/>
        <v>-0.01023890785</v>
      </c>
      <c r="J105" s="47">
        <f>AVERAGE(C105:I105)</f>
        <v>0.3168451194</v>
      </c>
      <c r="K105" s="47">
        <v>0.31684511940123433</v>
      </c>
      <c r="L105" s="47">
        <v>0.31684511940123433</v>
      </c>
      <c r="M105" s="47">
        <v>0.31684511940123433</v>
      </c>
      <c r="N105" s="47">
        <v>0.31684511940123433</v>
      </c>
      <c r="O105" s="47"/>
      <c r="P105" s="47"/>
      <c r="Q105" s="47"/>
      <c r="R105" s="47"/>
      <c r="S105" s="47"/>
      <c r="T105" s="47"/>
      <c r="U105" s="47"/>
      <c r="V105" s="47"/>
      <c r="W105" s="47"/>
      <c r="X105" s="47"/>
      <c r="Y105" s="47"/>
    </row>
    <row r="106" ht="15.75" customHeight="1">
      <c r="A106" s="29" t="s">
        <v>139</v>
      </c>
      <c r="B106" s="44">
        <v>1262.0</v>
      </c>
      <c r="C106" s="44">
        <v>748.0</v>
      </c>
      <c r="D106" s="44">
        <v>703.0</v>
      </c>
      <c r="E106" s="44">
        <v>529.0</v>
      </c>
      <c r="F106" s="44">
        <v>757.0</v>
      </c>
      <c r="G106" s="44">
        <v>1028.0</v>
      </c>
      <c r="H106" s="23">
        <v>1177.0</v>
      </c>
      <c r="I106" s="23">
        <v>1231.0</v>
      </c>
    </row>
    <row r="107" ht="15.75" customHeight="1">
      <c r="A107" s="29" t="s">
        <v>140</v>
      </c>
      <c r="B107" s="44">
        <v>206.0</v>
      </c>
      <c r="C107" s="44">
        <v>252.0</v>
      </c>
      <c r="D107" s="44">
        <v>266.0</v>
      </c>
      <c r="E107" s="44">
        <v>294.0</v>
      </c>
      <c r="F107" s="44">
        <v>160.0</v>
      </c>
      <c r="G107" s="44">
        <v>121.0</v>
      </c>
      <c r="H107" s="23">
        <v>179.0</v>
      </c>
      <c r="I107" s="23">
        <v>160.0</v>
      </c>
    </row>
    <row r="108" ht="15.75" customHeight="1">
      <c r="A108" s="29" t="s">
        <v>141</v>
      </c>
      <c r="B108" s="44">
        <v>240.0</v>
      </c>
      <c r="C108" s="44">
        <v>271.0</v>
      </c>
      <c r="D108" s="44">
        <v>300.0</v>
      </c>
      <c r="E108" s="44">
        <v>320.0</v>
      </c>
      <c r="F108" s="44">
        <v>347.0</v>
      </c>
      <c r="G108" s="44">
        <v>385.0</v>
      </c>
      <c r="H108" s="23">
        <v>438.0</v>
      </c>
      <c r="I108" s="23">
        <v>480.0</v>
      </c>
    </row>
    <row r="109" ht="15.75" customHeight="1"/>
    <row r="110" ht="15.75" customHeight="1">
      <c r="A110" s="39" t="s">
        <v>142</v>
      </c>
      <c r="B110" s="39"/>
      <c r="C110" s="39"/>
      <c r="D110" s="39"/>
      <c r="E110" s="39"/>
      <c r="F110" s="39"/>
      <c r="G110" s="39"/>
      <c r="H110" s="39"/>
      <c r="I110" s="39"/>
    </row>
    <row r="111" ht="15.75" customHeight="1">
      <c r="A111" s="40" t="s">
        <v>143</v>
      </c>
      <c r="B111" s="23"/>
      <c r="C111" s="23"/>
      <c r="D111" s="23"/>
      <c r="E111" s="23"/>
      <c r="F111" s="23"/>
      <c r="G111" s="23"/>
      <c r="H111" s="23"/>
      <c r="I111" s="23"/>
    </row>
    <row r="112" ht="15.75" customHeight="1">
      <c r="A112" s="29" t="s">
        <v>144</v>
      </c>
      <c r="B112" s="23">
        <v>13740.0</v>
      </c>
      <c r="C112" s="23">
        <v>14764.0</v>
      </c>
      <c r="D112" s="23">
        <v>15216.0</v>
      </c>
      <c r="E112" s="23">
        <v>14855.0</v>
      </c>
      <c r="F112" s="23">
        <v>15902.0</v>
      </c>
      <c r="G112" s="23">
        <v>14484.0</v>
      </c>
      <c r="H112" s="23">
        <f t="shared" ref="H112:I112" si="21">+SUM(H113:H115)</f>
        <v>17179</v>
      </c>
      <c r="I112" s="23">
        <f t="shared" si="21"/>
        <v>18353</v>
      </c>
    </row>
    <row r="113" ht="15.75" customHeight="1">
      <c r="A113" s="29" t="s">
        <v>145</v>
      </c>
      <c r="B113" s="22">
        <v>8506.0</v>
      </c>
      <c r="C113" s="22">
        <v>9299.0</v>
      </c>
      <c r="D113" s="22">
        <v>9684.0</v>
      </c>
      <c r="E113" s="22">
        <v>9322.0</v>
      </c>
      <c r="F113" s="22">
        <v>10045.0</v>
      </c>
      <c r="G113" s="22">
        <v>9329.0</v>
      </c>
      <c r="H113" s="36">
        <v>11644.0</v>
      </c>
      <c r="I113" s="36">
        <v>12228.0</v>
      </c>
    </row>
    <row r="114" ht="15.75" customHeight="1">
      <c r="A114" s="29" t="s">
        <v>146</v>
      </c>
      <c r="B114" s="22">
        <v>4410.0</v>
      </c>
      <c r="C114" s="22">
        <v>4746.0</v>
      </c>
      <c r="D114" s="22">
        <v>4886.0</v>
      </c>
      <c r="E114" s="22">
        <v>4938.0</v>
      </c>
      <c r="F114" s="22">
        <v>5260.0</v>
      </c>
      <c r="G114" s="22">
        <v>4639.0</v>
      </c>
      <c r="H114" s="36">
        <v>5028.0</v>
      </c>
      <c r="I114" s="36">
        <v>5492.0</v>
      </c>
    </row>
    <row r="115" ht="15.75" customHeight="1">
      <c r="A115" s="29" t="s">
        <v>147</v>
      </c>
      <c r="B115" s="22">
        <v>824.0</v>
      </c>
      <c r="C115" s="22">
        <v>719.0</v>
      </c>
      <c r="D115" s="22">
        <v>646.0</v>
      </c>
      <c r="E115" s="22">
        <v>595.0</v>
      </c>
      <c r="F115" s="22">
        <v>597.0</v>
      </c>
      <c r="G115" s="22">
        <v>516.0</v>
      </c>
      <c r="H115" s="22">
        <v>507.0</v>
      </c>
      <c r="I115" s="22">
        <v>633.0</v>
      </c>
    </row>
    <row r="116" ht="15.75" customHeight="1">
      <c r="A116" s="29" t="s">
        <v>148</v>
      </c>
      <c r="B116" s="23">
        <f>B117+B119+B118</f>
        <v>11024</v>
      </c>
      <c r="C116" s="23">
        <v>7568.0</v>
      </c>
      <c r="D116" s="23">
        <v>7970.0</v>
      </c>
      <c r="E116" s="23">
        <v>9242.0</v>
      </c>
      <c r="F116" s="23">
        <v>9812.0</v>
      </c>
      <c r="G116" s="23">
        <v>9347.0</v>
      </c>
      <c r="H116" s="23">
        <f t="shared" ref="H116:I116" si="22">+SUM(H117:H119)</f>
        <v>11456</v>
      </c>
      <c r="I116" s="23">
        <f t="shared" si="22"/>
        <v>12479</v>
      </c>
    </row>
    <row r="117" ht="15.75" customHeight="1">
      <c r="A117" s="29" t="s">
        <v>145</v>
      </c>
      <c r="B117" s="22">
        <f>3876+827+2641</f>
        <v>7344</v>
      </c>
      <c r="C117" s="22">
        <v>5043.0</v>
      </c>
      <c r="D117" s="22">
        <v>5192.0</v>
      </c>
      <c r="E117" s="22">
        <v>5875.0</v>
      </c>
      <c r="F117" s="22">
        <v>6293.0</v>
      </c>
      <c r="G117" s="22">
        <v>5892.0</v>
      </c>
      <c r="H117" s="36">
        <v>6970.0</v>
      </c>
      <c r="I117" s="36">
        <v>7388.0</v>
      </c>
    </row>
    <row r="118" ht="15.75" customHeight="1">
      <c r="A118" s="29" t="s">
        <v>146</v>
      </c>
      <c r="B118" s="22">
        <f>1552+499+1021</f>
        <v>3072</v>
      </c>
      <c r="C118" s="22">
        <v>2149.0</v>
      </c>
      <c r="D118" s="22">
        <v>2395.0</v>
      </c>
      <c r="E118" s="22">
        <v>2940.0</v>
      </c>
      <c r="F118" s="22">
        <v>3087.0</v>
      </c>
      <c r="G118" s="22">
        <v>3053.0</v>
      </c>
      <c r="H118" s="36">
        <v>3996.0</v>
      </c>
      <c r="I118" s="36">
        <v>4527.0</v>
      </c>
    </row>
    <row r="119" ht="15.75" customHeight="1">
      <c r="A119" s="29" t="s">
        <v>147</v>
      </c>
      <c r="B119" s="22">
        <f>95+277+236</f>
        <v>608</v>
      </c>
      <c r="C119" s="22">
        <v>376.0</v>
      </c>
      <c r="D119" s="22">
        <v>383.0</v>
      </c>
      <c r="E119" s="22">
        <v>427.0</v>
      </c>
      <c r="F119" s="22">
        <v>432.0</v>
      </c>
      <c r="G119" s="22">
        <v>402.0</v>
      </c>
      <c r="H119" s="22">
        <v>490.0</v>
      </c>
      <c r="I119" s="22">
        <v>564.0</v>
      </c>
    </row>
    <row r="120" ht="15.75" customHeight="1">
      <c r="A120" s="29" t="s">
        <v>149</v>
      </c>
      <c r="B120" s="23">
        <v>3067.0</v>
      </c>
      <c r="C120" s="23">
        <v>3785.0</v>
      </c>
      <c r="D120" s="23">
        <v>4237.0</v>
      </c>
      <c r="E120" s="23">
        <v>5134.0</v>
      </c>
      <c r="F120" s="23">
        <v>6208.0</v>
      </c>
      <c r="G120" s="23">
        <v>6679.0</v>
      </c>
      <c r="H120" s="23">
        <f t="shared" ref="H120:I120" si="23">+SUM(H121:H123)</f>
        <v>8290</v>
      </c>
      <c r="I120" s="23">
        <f t="shared" si="23"/>
        <v>7547</v>
      </c>
    </row>
    <row r="121" ht="15.75" customHeight="1">
      <c r="A121" s="29" t="s">
        <v>145</v>
      </c>
      <c r="B121" s="22">
        <v>2016.0</v>
      </c>
      <c r="C121" s="22">
        <v>2599.0</v>
      </c>
      <c r="D121" s="22">
        <v>2920.0</v>
      </c>
      <c r="E121" s="22">
        <v>3496.0</v>
      </c>
      <c r="F121" s="22">
        <v>4262.0</v>
      </c>
      <c r="G121" s="22">
        <v>4635.0</v>
      </c>
      <c r="H121" s="36">
        <v>5748.0</v>
      </c>
      <c r="I121" s="36">
        <v>5416.0</v>
      </c>
    </row>
    <row r="122" ht="15.75" customHeight="1">
      <c r="A122" s="29" t="s">
        <v>146</v>
      </c>
      <c r="B122" s="22">
        <v>925.0</v>
      </c>
      <c r="C122" s="22">
        <v>1055.0</v>
      </c>
      <c r="D122" s="22">
        <v>1188.0</v>
      </c>
      <c r="E122" s="22">
        <v>1508.0</v>
      </c>
      <c r="F122" s="22">
        <v>1808.0</v>
      </c>
      <c r="G122" s="22">
        <v>1896.0</v>
      </c>
      <c r="H122" s="36">
        <v>2347.0</v>
      </c>
      <c r="I122" s="36">
        <v>1938.0</v>
      </c>
    </row>
    <row r="123" ht="15.75" customHeight="1">
      <c r="A123" s="29" t="s">
        <v>147</v>
      </c>
      <c r="B123" s="22">
        <v>126.0</v>
      </c>
      <c r="C123" s="22">
        <v>131.0</v>
      </c>
      <c r="D123" s="22">
        <v>129.0</v>
      </c>
      <c r="E123" s="22">
        <v>130.0</v>
      </c>
      <c r="F123" s="22">
        <v>138.0</v>
      </c>
      <c r="G123" s="22">
        <v>148.0</v>
      </c>
      <c r="H123" s="22">
        <v>195.0</v>
      </c>
      <c r="I123" s="22">
        <v>193.0</v>
      </c>
    </row>
    <row r="124" ht="15.75" customHeight="1">
      <c r="A124" s="29" t="s">
        <v>150</v>
      </c>
      <c r="B124" s="23">
        <v>755.0</v>
      </c>
      <c r="C124" s="23">
        <v>4317.0</v>
      </c>
      <c r="D124" s="23">
        <v>4737.0</v>
      </c>
      <c r="E124" s="23">
        <v>5166.0</v>
      </c>
      <c r="F124" s="23">
        <v>5254.0</v>
      </c>
      <c r="G124" s="23">
        <v>5028.0</v>
      </c>
      <c r="H124" s="23">
        <f t="shared" ref="H124:I124" si="24">+SUM(H125:H127)</f>
        <v>5343</v>
      </c>
      <c r="I124" s="23">
        <f t="shared" si="24"/>
        <v>5955</v>
      </c>
    </row>
    <row r="125" ht="15.75" customHeight="1">
      <c r="A125" s="29" t="s">
        <v>145</v>
      </c>
      <c r="B125" s="22">
        <v>452.0</v>
      </c>
      <c r="C125" s="22">
        <v>2930.0</v>
      </c>
      <c r="D125" s="22">
        <v>3285.0</v>
      </c>
      <c r="E125" s="22">
        <v>3575.0</v>
      </c>
      <c r="F125" s="22">
        <v>3622.0</v>
      </c>
      <c r="G125" s="22">
        <v>3449.0</v>
      </c>
      <c r="H125" s="36">
        <v>3659.0</v>
      </c>
      <c r="I125" s="36">
        <v>4111.0</v>
      </c>
    </row>
    <row r="126" ht="15.75" customHeight="1">
      <c r="A126" s="29" t="s">
        <v>146</v>
      </c>
      <c r="B126" s="22">
        <v>230.0</v>
      </c>
      <c r="C126" s="22">
        <v>1117.0</v>
      </c>
      <c r="D126" s="22">
        <v>1185.0</v>
      </c>
      <c r="E126" s="22">
        <v>1347.0</v>
      </c>
      <c r="F126" s="22">
        <v>1395.0</v>
      </c>
      <c r="G126" s="22">
        <v>1365.0</v>
      </c>
      <c r="H126" s="36">
        <v>1494.0</v>
      </c>
      <c r="I126" s="36">
        <v>1610.0</v>
      </c>
    </row>
    <row r="127" ht="15.75" customHeight="1">
      <c r="A127" s="29" t="s">
        <v>147</v>
      </c>
      <c r="B127" s="22">
        <v>73.0</v>
      </c>
      <c r="C127" s="22">
        <v>270.0</v>
      </c>
      <c r="D127" s="22">
        <v>267.0</v>
      </c>
      <c r="E127" s="22">
        <v>244.0</v>
      </c>
      <c r="F127" s="22">
        <v>237.0</v>
      </c>
      <c r="G127" s="22">
        <v>214.0</v>
      </c>
      <c r="H127" s="22">
        <v>190.0</v>
      </c>
      <c r="I127" s="22">
        <v>234.0</v>
      </c>
    </row>
    <row r="128" ht="15.75" customHeight="1">
      <c r="A128" s="29" t="s">
        <v>151</v>
      </c>
      <c r="B128" s="23">
        <v>115.0</v>
      </c>
      <c r="C128" s="23">
        <v>73.0</v>
      </c>
      <c r="D128" s="23">
        <v>73.0</v>
      </c>
      <c r="E128" s="23">
        <v>88.0</v>
      </c>
      <c r="F128" s="23">
        <v>42.0</v>
      </c>
      <c r="G128" s="23">
        <v>30.0</v>
      </c>
      <c r="H128" s="23">
        <v>25.0</v>
      </c>
      <c r="I128" s="23">
        <v>102.0</v>
      </c>
    </row>
    <row r="129" ht="15.75" customHeight="1">
      <c r="A129" s="32" t="s">
        <v>152</v>
      </c>
      <c r="B129" s="33">
        <f t="shared" ref="B129:I129" si="25">+B112+B116+B120+B124+B128</f>
        <v>28701</v>
      </c>
      <c r="C129" s="33">
        <f t="shared" si="25"/>
        <v>30507</v>
      </c>
      <c r="D129" s="33">
        <f t="shared" si="25"/>
        <v>32233</v>
      </c>
      <c r="E129" s="33">
        <f t="shared" si="25"/>
        <v>34485</v>
      </c>
      <c r="F129" s="33">
        <f t="shared" si="25"/>
        <v>37218</v>
      </c>
      <c r="G129" s="33">
        <f t="shared" si="25"/>
        <v>35568</v>
      </c>
      <c r="H129" s="33">
        <f t="shared" si="25"/>
        <v>42293</v>
      </c>
      <c r="I129" s="33">
        <f t="shared" si="25"/>
        <v>44436</v>
      </c>
      <c r="J129" s="28">
        <f>B130+B131+B133+B132-B135</f>
        <v>2064</v>
      </c>
    </row>
    <row r="130" ht="15.75" customHeight="1">
      <c r="A130" s="29" t="s">
        <v>153</v>
      </c>
      <c r="B130" s="44">
        <v>1982.0</v>
      </c>
      <c r="C130" s="44">
        <v>1955.0</v>
      </c>
      <c r="D130" s="44">
        <v>2042.0</v>
      </c>
      <c r="E130" s="44">
        <v>1886.0</v>
      </c>
      <c r="F130" s="44">
        <v>1906.0</v>
      </c>
      <c r="G130" s="44">
        <v>1846.0</v>
      </c>
      <c r="H130" s="23">
        <f t="shared" ref="H130:I130" si="26">+SUM(H131:H134)</f>
        <v>2205</v>
      </c>
      <c r="I130" s="23">
        <f t="shared" si="26"/>
        <v>2346</v>
      </c>
    </row>
    <row r="131" ht="15.75" customHeight="1">
      <c r="A131" s="29" t="s">
        <v>145</v>
      </c>
      <c r="B131" s="23"/>
      <c r="C131" s="23"/>
      <c r="D131" s="23"/>
      <c r="E131" s="23">
        <v>1611.0</v>
      </c>
      <c r="F131" s="23">
        <v>1658.0</v>
      </c>
      <c r="G131" s="23">
        <v>1642.0</v>
      </c>
      <c r="H131" s="23">
        <v>1986.0</v>
      </c>
      <c r="I131" s="23">
        <v>2094.0</v>
      </c>
      <c r="K131" s="23"/>
    </row>
    <row r="132" ht="15.75" customHeight="1">
      <c r="A132" s="29" t="s">
        <v>146</v>
      </c>
      <c r="B132" s="23"/>
      <c r="C132" s="23"/>
      <c r="D132" s="23"/>
      <c r="E132" s="23">
        <v>144.0</v>
      </c>
      <c r="F132" s="23">
        <v>118.0</v>
      </c>
      <c r="G132" s="23">
        <v>89.0</v>
      </c>
      <c r="H132" s="23">
        <v>104.0</v>
      </c>
      <c r="I132" s="23">
        <v>103.0</v>
      </c>
    </row>
    <row r="133" ht="15.75" customHeight="1">
      <c r="A133" s="29" t="s">
        <v>147</v>
      </c>
      <c r="B133" s="23"/>
      <c r="C133" s="23"/>
      <c r="D133" s="23"/>
      <c r="E133" s="23">
        <v>28.0</v>
      </c>
      <c r="F133" s="23">
        <v>24.0</v>
      </c>
      <c r="G133" s="23">
        <v>25.0</v>
      </c>
      <c r="H133" s="23">
        <v>29.0</v>
      </c>
      <c r="I133" s="23">
        <v>26.0</v>
      </c>
    </row>
    <row r="134" ht="15.75" customHeight="1">
      <c r="A134" s="29" t="s">
        <v>154</v>
      </c>
      <c r="B134" s="23">
        <v>0.0</v>
      </c>
      <c r="C134" s="23">
        <v>0.0</v>
      </c>
      <c r="D134" s="23">
        <v>0.0</v>
      </c>
      <c r="E134" s="23">
        <v>103.0</v>
      </c>
      <c r="F134" s="23">
        <v>106.0</v>
      </c>
      <c r="G134" s="23">
        <v>90.0</v>
      </c>
      <c r="H134" s="23">
        <v>86.0</v>
      </c>
      <c r="I134" s="23">
        <v>123.0</v>
      </c>
    </row>
    <row r="135" ht="15.75" customHeight="1">
      <c r="A135" s="29" t="s">
        <v>155</v>
      </c>
      <c r="B135" s="23">
        <v>-82.0</v>
      </c>
      <c r="C135" s="23">
        <v>-86.0</v>
      </c>
      <c r="D135" s="23">
        <v>75.0</v>
      </c>
      <c r="E135" s="23">
        <v>26.0</v>
      </c>
      <c r="F135" s="23">
        <v>-7.0</v>
      </c>
      <c r="G135" s="23">
        <v>-11.0</v>
      </c>
      <c r="H135" s="23">
        <v>40.0</v>
      </c>
      <c r="I135" s="23">
        <v>-72.0</v>
      </c>
    </row>
    <row r="136" ht="15.75" customHeight="1">
      <c r="A136" s="34" t="s">
        <v>156</v>
      </c>
      <c r="B136" s="35">
        <f t="shared" ref="B136:I136" si="27">+B129+B130+B135</f>
        <v>30601</v>
      </c>
      <c r="C136" s="35">
        <f t="shared" si="27"/>
        <v>32376</v>
      </c>
      <c r="D136" s="35">
        <f t="shared" si="27"/>
        <v>34350</v>
      </c>
      <c r="E136" s="35">
        <f t="shared" si="27"/>
        <v>36397</v>
      </c>
      <c r="F136" s="35">
        <f t="shared" si="27"/>
        <v>39117</v>
      </c>
      <c r="G136" s="35">
        <f t="shared" si="27"/>
        <v>37403</v>
      </c>
      <c r="H136" s="35">
        <f t="shared" si="27"/>
        <v>44538</v>
      </c>
      <c r="I136" s="35">
        <f t="shared" si="27"/>
        <v>46710</v>
      </c>
    </row>
    <row r="137" ht="15.75" customHeight="1">
      <c r="A137" s="37" t="s">
        <v>157</v>
      </c>
      <c r="B137" s="38">
        <f>+I136-I2</f>
        <v>0</v>
      </c>
      <c r="C137" s="38">
        <f t="shared" ref="C137:I137" si="28">+C136-C2</f>
        <v>0</v>
      </c>
      <c r="D137" s="38">
        <f t="shared" si="28"/>
        <v>0</v>
      </c>
      <c r="E137" s="38">
        <f t="shared" si="28"/>
        <v>0</v>
      </c>
      <c r="F137" s="38">
        <f t="shared" si="28"/>
        <v>0</v>
      </c>
      <c r="G137" s="38">
        <f t="shared" si="28"/>
        <v>0</v>
      </c>
      <c r="H137" s="38">
        <f t="shared" si="28"/>
        <v>0</v>
      </c>
      <c r="I137" s="38">
        <f t="shared" si="28"/>
        <v>0</v>
      </c>
      <c r="J137" s="37"/>
      <c r="K137" s="37"/>
      <c r="L137" s="37"/>
      <c r="M137" s="37"/>
      <c r="N137" s="37"/>
      <c r="O137" s="37"/>
      <c r="P137" s="37"/>
      <c r="Q137" s="37"/>
      <c r="R137" s="37"/>
      <c r="S137" s="37"/>
      <c r="T137" s="37"/>
      <c r="U137" s="37"/>
      <c r="V137" s="37"/>
      <c r="W137" s="37"/>
      <c r="X137" s="37"/>
      <c r="Y137" s="37"/>
    </row>
    <row r="138" ht="15.75" customHeight="1">
      <c r="A138" s="27" t="s">
        <v>158</v>
      </c>
    </row>
    <row r="139" ht="15.75" customHeight="1">
      <c r="A139" s="29" t="s">
        <v>144</v>
      </c>
      <c r="B139" s="23">
        <v>3645.0</v>
      </c>
      <c r="C139" s="23">
        <v>3763.0</v>
      </c>
      <c r="D139" s="23">
        <v>3875.0</v>
      </c>
      <c r="E139" s="23">
        <v>3600.0</v>
      </c>
      <c r="F139" s="23">
        <v>3925.0</v>
      </c>
      <c r="G139" s="23">
        <v>2899.0</v>
      </c>
      <c r="H139" s="23">
        <v>5089.0</v>
      </c>
      <c r="I139" s="23">
        <v>5114.0</v>
      </c>
    </row>
    <row r="140" ht="15.75" customHeight="1">
      <c r="A140" s="29" t="s">
        <v>148</v>
      </c>
      <c r="B140" s="23">
        <f>1275+249+818</f>
        <v>2342</v>
      </c>
      <c r="C140" s="23">
        <v>1787.0</v>
      </c>
      <c r="D140" s="23">
        <v>1507.0</v>
      </c>
      <c r="E140" s="23">
        <v>1587.0</v>
      </c>
      <c r="F140" s="23">
        <v>1995.0</v>
      </c>
      <c r="G140" s="23">
        <v>1541.0</v>
      </c>
      <c r="H140" s="23">
        <v>2435.0</v>
      </c>
      <c r="I140" s="23">
        <v>3293.0</v>
      </c>
    </row>
    <row r="141" ht="15.75" customHeight="1">
      <c r="A141" s="29" t="s">
        <v>149</v>
      </c>
      <c r="B141" s="23">
        <v>993.0</v>
      </c>
      <c r="C141" s="23">
        <v>1372.0</v>
      </c>
      <c r="D141" s="23">
        <v>1507.0</v>
      </c>
      <c r="E141" s="23">
        <v>1807.0</v>
      </c>
      <c r="F141" s="23">
        <v>2376.0</v>
      </c>
      <c r="G141" s="23">
        <v>2490.0</v>
      </c>
      <c r="H141" s="23">
        <v>3243.0</v>
      </c>
      <c r="I141" s="23">
        <v>2365.0</v>
      </c>
    </row>
    <row r="142" ht="15.75" customHeight="1">
      <c r="A142" s="29" t="s">
        <v>150</v>
      </c>
      <c r="B142" s="23">
        <v>100.0</v>
      </c>
      <c r="C142" s="23">
        <v>1002.0</v>
      </c>
      <c r="D142" s="23">
        <v>980.0</v>
      </c>
      <c r="E142" s="23">
        <v>1189.0</v>
      </c>
      <c r="F142" s="23">
        <v>1323.0</v>
      </c>
      <c r="G142" s="23">
        <v>1184.0</v>
      </c>
      <c r="H142" s="23">
        <v>1530.0</v>
      </c>
      <c r="I142" s="23">
        <v>1896.0</v>
      </c>
    </row>
    <row r="143" ht="15.75" customHeight="1">
      <c r="A143" s="29" t="s">
        <v>151</v>
      </c>
      <c r="B143" s="23">
        <v>-2267.0</v>
      </c>
      <c r="C143" s="23">
        <v>-2596.0</v>
      </c>
      <c r="D143" s="23">
        <v>-2677.0</v>
      </c>
      <c r="E143" s="23">
        <v>-2658.0</v>
      </c>
      <c r="F143" s="23">
        <v>-3262.0</v>
      </c>
      <c r="G143" s="23">
        <v>-3468.0</v>
      </c>
      <c r="H143" s="23">
        <v>-3656.0</v>
      </c>
      <c r="I143" s="23">
        <v>-4262.0</v>
      </c>
    </row>
    <row r="144" ht="15.75" customHeight="1">
      <c r="A144" s="32" t="s">
        <v>152</v>
      </c>
      <c r="B144" s="33">
        <f t="shared" ref="B144:I144" si="29">+SUM(B139:B143)</f>
        <v>4813</v>
      </c>
      <c r="C144" s="33">
        <f t="shared" si="29"/>
        <v>5328</v>
      </c>
      <c r="D144" s="33">
        <f t="shared" si="29"/>
        <v>5192</v>
      </c>
      <c r="E144" s="33">
        <f t="shared" si="29"/>
        <v>5525</v>
      </c>
      <c r="F144" s="33">
        <f t="shared" si="29"/>
        <v>6357</v>
      </c>
      <c r="G144" s="33">
        <f t="shared" si="29"/>
        <v>4646</v>
      </c>
      <c r="H144" s="33">
        <f t="shared" si="29"/>
        <v>8641</v>
      </c>
      <c r="I144" s="33">
        <f t="shared" si="29"/>
        <v>8406</v>
      </c>
    </row>
    <row r="145" ht="15.75" customHeight="1">
      <c r="A145" s="29" t="s">
        <v>153</v>
      </c>
      <c r="B145" s="23">
        <v>517.0</v>
      </c>
      <c r="C145" s="23">
        <v>487.0</v>
      </c>
      <c r="D145" s="23">
        <v>477.0</v>
      </c>
      <c r="E145" s="23">
        <v>310.0</v>
      </c>
      <c r="F145" s="23">
        <v>303.0</v>
      </c>
      <c r="G145" s="23">
        <v>297.0</v>
      </c>
      <c r="H145" s="23">
        <v>543.0</v>
      </c>
      <c r="I145" s="23">
        <v>669.0</v>
      </c>
    </row>
    <row r="146" ht="15.75" customHeight="1">
      <c r="A146" s="29" t="s">
        <v>155</v>
      </c>
      <c r="B146" s="23">
        <v>-1097.0</v>
      </c>
      <c r="C146" s="23">
        <v>-1173.0</v>
      </c>
      <c r="D146" s="23">
        <v>-724.0</v>
      </c>
      <c r="E146" s="23">
        <v>-1456.0</v>
      </c>
      <c r="F146" s="23">
        <v>-1810.0</v>
      </c>
      <c r="G146" s="23">
        <v>-1967.0</v>
      </c>
      <c r="H146" s="23">
        <v>-2261.0</v>
      </c>
      <c r="I146" s="23">
        <v>-2219.0</v>
      </c>
    </row>
    <row r="147" ht="15.75" customHeight="1">
      <c r="A147" s="34" t="s">
        <v>159</v>
      </c>
      <c r="B147" s="35">
        <f t="shared" ref="B147:I147" si="30">+SUM(B144:B146)</f>
        <v>4233</v>
      </c>
      <c r="C147" s="35">
        <f t="shared" si="30"/>
        <v>4642</v>
      </c>
      <c r="D147" s="35">
        <f t="shared" si="30"/>
        <v>4945</v>
      </c>
      <c r="E147" s="35">
        <f t="shared" si="30"/>
        <v>4379</v>
      </c>
      <c r="F147" s="35">
        <f t="shared" si="30"/>
        <v>4850</v>
      </c>
      <c r="G147" s="35">
        <f t="shared" si="30"/>
        <v>2976</v>
      </c>
      <c r="H147" s="35">
        <f t="shared" si="30"/>
        <v>6923</v>
      </c>
      <c r="I147" s="35">
        <f t="shared" si="30"/>
        <v>6856</v>
      </c>
    </row>
    <row r="148" ht="15.75" customHeight="1">
      <c r="A148" s="37" t="s">
        <v>157</v>
      </c>
      <c r="B148" s="38">
        <f t="shared" ref="B148:I148" si="31">+B147-B10-B8</f>
        <v>0</v>
      </c>
      <c r="C148" s="38">
        <f t="shared" si="31"/>
        <v>0</v>
      </c>
      <c r="D148" s="38">
        <f t="shared" si="31"/>
        <v>0</v>
      </c>
      <c r="E148" s="38">
        <f t="shared" si="31"/>
        <v>0</v>
      </c>
      <c r="F148" s="38">
        <f t="shared" si="31"/>
        <v>0</v>
      </c>
      <c r="G148" s="38">
        <f t="shared" si="31"/>
        <v>0</v>
      </c>
      <c r="H148" s="38">
        <f t="shared" si="31"/>
        <v>0</v>
      </c>
      <c r="I148" s="38">
        <f t="shared" si="31"/>
        <v>0</v>
      </c>
      <c r="J148" s="37"/>
      <c r="K148" s="37"/>
      <c r="L148" s="37"/>
      <c r="M148" s="37"/>
      <c r="N148" s="37"/>
      <c r="O148" s="37"/>
      <c r="P148" s="37"/>
      <c r="Q148" s="37"/>
      <c r="R148" s="37"/>
      <c r="S148" s="37"/>
      <c r="T148" s="37"/>
      <c r="U148" s="37"/>
      <c r="V148" s="37"/>
      <c r="W148" s="37"/>
      <c r="X148" s="37"/>
      <c r="Y148" s="37"/>
    </row>
    <row r="149" ht="15.75" customHeight="1">
      <c r="A149" s="27" t="s">
        <v>160</v>
      </c>
    </row>
    <row r="150" ht="15.75" customHeight="1">
      <c r="A150" s="29" t="s">
        <v>144</v>
      </c>
      <c r="B150" s="23">
        <v>632.0</v>
      </c>
      <c r="C150" s="23">
        <v>742.0</v>
      </c>
      <c r="D150" s="23">
        <v>819.0</v>
      </c>
      <c r="E150" s="23">
        <v>848.0</v>
      </c>
      <c r="F150" s="23">
        <v>814.0</v>
      </c>
      <c r="G150" s="23">
        <v>645.0</v>
      </c>
      <c r="H150" s="23">
        <v>617.0</v>
      </c>
      <c r="I150" s="23">
        <v>639.0</v>
      </c>
    </row>
    <row r="151" ht="15.75" customHeight="1">
      <c r="A151" s="29" t="s">
        <v>148</v>
      </c>
      <c r="B151" s="23">
        <f>451+47+103</f>
        <v>601</v>
      </c>
      <c r="C151" s="23">
        <f>589+50+109</f>
        <v>748</v>
      </c>
      <c r="D151" s="23">
        <v>709.0</v>
      </c>
      <c r="E151" s="23">
        <v>849.0</v>
      </c>
      <c r="F151" s="23">
        <v>929.0</v>
      </c>
      <c r="G151" s="23">
        <v>885.0</v>
      </c>
      <c r="H151" s="23">
        <v>982.0</v>
      </c>
      <c r="I151" s="23">
        <v>920.0</v>
      </c>
    </row>
    <row r="152" ht="15.75" customHeight="1">
      <c r="A152" s="29" t="s">
        <v>149</v>
      </c>
      <c r="B152" s="23">
        <v>254.0</v>
      </c>
      <c r="C152" s="23">
        <v>234.0</v>
      </c>
      <c r="D152" s="23">
        <v>225.0</v>
      </c>
      <c r="E152" s="23">
        <v>256.0</v>
      </c>
      <c r="F152" s="23">
        <v>237.0</v>
      </c>
      <c r="G152" s="23">
        <v>214.0</v>
      </c>
      <c r="H152" s="23">
        <v>288.0</v>
      </c>
      <c r="I152" s="23">
        <v>303.0</v>
      </c>
    </row>
    <row r="153" ht="15.75" customHeight="1">
      <c r="A153" s="29" t="s">
        <v>161</v>
      </c>
      <c r="B153" s="23">
        <v>205.0</v>
      </c>
      <c r="C153" s="23">
        <v>223.0</v>
      </c>
      <c r="D153" s="23">
        <v>340.0</v>
      </c>
      <c r="E153" s="23">
        <v>339.0</v>
      </c>
      <c r="F153" s="23">
        <v>326.0</v>
      </c>
      <c r="G153" s="23">
        <v>296.0</v>
      </c>
      <c r="H153" s="23">
        <v>304.0</v>
      </c>
      <c r="I153" s="23">
        <v>274.0</v>
      </c>
    </row>
    <row r="154" ht="15.75" customHeight="1">
      <c r="A154" s="29" t="s">
        <v>151</v>
      </c>
      <c r="B154" s="23">
        <v>484.0</v>
      </c>
      <c r="C154" s="23">
        <v>511.0</v>
      </c>
      <c r="D154" s="23">
        <v>533.0</v>
      </c>
      <c r="E154" s="23">
        <v>597.0</v>
      </c>
      <c r="F154" s="23">
        <v>665.0</v>
      </c>
      <c r="G154" s="23">
        <v>830.0</v>
      </c>
      <c r="H154" s="23">
        <v>780.0</v>
      </c>
      <c r="I154" s="23">
        <v>789.0</v>
      </c>
    </row>
    <row r="155" ht="15.75" customHeight="1">
      <c r="A155" s="32" t="s">
        <v>162</v>
      </c>
      <c r="B155" s="33">
        <f t="shared" ref="B155:I155" si="32">+SUM(B150:B154)</f>
        <v>2176</v>
      </c>
      <c r="C155" s="33">
        <f t="shared" si="32"/>
        <v>2458</v>
      </c>
      <c r="D155" s="33">
        <f t="shared" si="32"/>
        <v>2626</v>
      </c>
      <c r="E155" s="33">
        <f t="shared" si="32"/>
        <v>2889</v>
      </c>
      <c r="F155" s="33">
        <f t="shared" si="32"/>
        <v>2971</v>
      </c>
      <c r="G155" s="33">
        <f t="shared" si="32"/>
        <v>2870</v>
      </c>
      <c r="H155" s="33">
        <f t="shared" si="32"/>
        <v>2971</v>
      </c>
      <c r="I155" s="33">
        <f t="shared" si="32"/>
        <v>2925</v>
      </c>
    </row>
    <row r="156" ht="15.75" customHeight="1">
      <c r="A156" s="29" t="s">
        <v>153</v>
      </c>
      <c r="B156" s="23">
        <v>122.0</v>
      </c>
      <c r="C156" s="23">
        <v>125.0</v>
      </c>
      <c r="D156" s="23">
        <v>125.0</v>
      </c>
      <c r="E156" s="23">
        <v>115.0</v>
      </c>
      <c r="F156" s="23">
        <v>100.0</v>
      </c>
      <c r="G156" s="23">
        <v>80.0</v>
      </c>
      <c r="H156" s="23">
        <v>63.0</v>
      </c>
      <c r="I156" s="23">
        <v>49.0</v>
      </c>
    </row>
    <row r="157" ht="15.75" customHeight="1">
      <c r="A157" s="29" t="s">
        <v>155</v>
      </c>
      <c r="B157" s="23">
        <v>713.0</v>
      </c>
      <c r="C157" s="23">
        <v>937.0</v>
      </c>
      <c r="D157" s="23">
        <v>1238.0</v>
      </c>
      <c r="E157" s="23">
        <v>1450.0</v>
      </c>
      <c r="F157" s="23">
        <v>1673.0</v>
      </c>
      <c r="G157" s="23">
        <v>1916.0</v>
      </c>
      <c r="H157" s="23">
        <v>1870.0</v>
      </c>
      <c r="I157" s="23">
        <v>1817.0</v>
      </c>
    </row>
    <row r="158" ht="15.75" customHeight="1">
      <c r="A158" s="34" t="s">
        <v>163</v>
      </c>
      <c r="B158" s="35">
        <f t="shared" ref="B158:I158" si="33">+SUM(B155:B157)</f>
        <v>3011</v>
      </c>
      <c r="C158" s="35">
        <f t="shared" si="33"/>
        <v>3520</v>
      </c>
      <c r="D158" s="35">
        <f t="shared" si="33"/>
        <v>3989</v>
      </c>
      <c r="E158" s="35">
        <f t="shared" si="33"/>
        <v>4454</v>
      </c>
      <c r="F158" s="35">
        <f t="shared" si="33"/>
        <v>4744</v>
      </c>
      <c r="G158" s="35">
        <f t="shared" si="33"/>
        <v>4866</v>
      </c>
      <c r="H158" s="35">
        <f t="shared" si="33"/>
        <v>4904</v>
      </c>
      <c r="I158" s="35">
        <f t="shared" si="33"/>
        <v>4791</v>
      </c>
    </row>
    <row r="159" ht="15.75" customHeight="1">
      <c r="A159" s="37" t="s">
        <v>157</v>
      </c>
      <c r="B159" s="38">
        <f t="shared" ref="B159:I159" si="34">+B158-B31</f>
        <v>0</v>
      </c>
      <c r="C159" s="38">
        <f t="shared" si="34"/>
        <v>0</v>
      </c>
      <c r="D159" s="38">
        <f t="shared" si="34"/>
        <v>0</v>
      </c>
      <c r="E159" s="38">
        <f t="shared" si="34"/>
        <v>0</v>
      </c>
      <c r="F159" s="38">
        <f t="shared" si="34"/>
        <v>0</v>
      </c>
      <c r="G159" s="38">
        <f t="shared" si="34"/>
        <v>-20</v>
      </c>
      <c r="H159" s="38">
        <f t="shared" si="34"/>
        <v>0</v>
      </c>
      <c r="I159" s="38">
        <f t="shared" si="34"/>
        <v>0</v>
      </c>
    </row>
    <row r="160" ht="15.75" customHeight="1">
      <c r="A160" s="27" t="s">
        <v>164</v>
      </c>
    </row>
    <row r="161" ht="15.75" customHeight="1">
      <c r="A161" s="29" t="s">
        <v>144</v>
      </c>
      <c r="B161" s="23">
        <v>208.0</v>
      </c>
      <c r="C161" s="23">
        <v>242.0</v>
      </c>
      <c r="D161" s="23">
        <v>223.0</v>
      </c>
      <c r="E161" s="23">
        <v>196.0</v>
      </c>
      <c r="F161" s="23">
        <v>117.0</v>
      </c>
      <c r="G161" s="23">
        <v>110.0</v>
      </c>
      <c r="H161" s="23">
        <v>98.0</v>
      </c>
      <c r="I161" s="23">
        <v>146.0</v>
      </c>
      <c r="J161" s="48">
        <f>'Segmental forecast'!J46</f>
        <v>192.1040595</v>
      </c>
      <c r="K161" s="48">
        <f>'Segmental forecast'!K46</f>
        <v>201.2808148</v>
      </c>
      <c r="L161" s="48">
        <f>'Segmental forecast'!L46</f>
        <v>210.9553378</v>
      </c>
      <c r="M161" s="48">
        <f>'Segmental forecast'!M46</f>
        <v>221.1541834</v>
      </c>
      <c r="N161" s="48">
        <f>'Segmental forecast'!N46</f>
        <v>231.9053924</v>
      </c>
    </row>
    <row r="162" ht="15.75" customHeight="1">
      <c r="A162" s="29" t="s">
        <v>148</v>
      </c>
      <c r="B162" s="23">
        <f>216+20+37</f>
        <v>273</v>
      </c>
      <c r="C162" s="23">
        <v>234.0</v>
      </c>
      <c r="D162" s="23">
        <v>173.0</v>
      </c>
      <c r="E162" s="23">
        <v>240.0</v>
      </c>
      <c r="F162" s="23">
        <v>233.0</v>
      </c>
      <c r="G162" s="23">
        <v>139.0</v>
      </c>
      <c r="H162" s="23">
        <v>153.0</v>
      </c>
      <c r="I162" s="23">
        <v>197.0</v>
      </c>
      <c r="J162" s="48">
        <f>'Segmental forecast'!J77</f>
        <v>253.6185721</v>
      </c>
      <c r="K162" s="48">
        <f>'Segmental forecast'!K77</f>
        <v>275.1438224</v>
      </c>
      <c r="L162" s="48">
        <f>'Segmental forecast'!L77</f>
        <v>298.6881218</v>
      </c>
      <c r="M162" s="48">
        <f>'Segmental forecast'!M77</f>
        <v>324.4580028</v>
      </c>
      <c r="N162" s="48">
        <f>'Segmental forecast'!N77</f>
        <v>352.6825133</v>
      </c>
    </row>
    <row r="163" ht="15.75" customHeight="1">
      <c r="A163" s="29" t="s">
        <v>149</v>
      </c>
      <c r="B163" s="23">
        <v>69.0</v>
      </c>
      <c r="C163" s="23">
        <v>44.0</v>
      </c>
      <c r="D163" s="23">
        <v>51.0</v>
      </c>
      <c r="E163" s="23">
        <v>76.0</v>
      </c>
      <c r="F163" s="23">
        <v>49.0</v>
      </c>
      <c r="G163" s="23">
        <v>28.0</v>
      </c>
      <c r="H163" s="23">
        <v>94.0</v>
      </c>
      <c r="I163" s="23">
        <v>78.0</v>
      </c>
      <c r="J163" s="48">
        <f>'Segmental forecast'!J108</f>
        <v>89.19587717</v>
      </c>
      <c r="K163" s="48">
        <f>'Segmental forecast'!K108</f>
        <v>102.2028125</v>
      </c>
      <c r="L163" s="48">
        <f>'Segmental forecast'!L108</f>
        <v>117.141322</v>
      </c>
      <c r="M163" s="48">
        <f>'Segmental forecast'!M108</f>
        <v>134.3019708</v>
      </c>
      <c r="N163" s="48">
        <f>'Segmental forecast'!N108</f>
        <v>154.0194534</v>
      </c>
    </row>
    <row r="164" ht="15.75" customHeight="1">
      <c r="A164" s="29" t="s">
        <v>161</v>
      </c>
      <c r="B164" s="23">
        <v>15.0</v>
      </c>
      <c r="C164" s="23">
        <v>62.0</v>
      </c>
      <c r="D164" s="23">
        <v>59.0</v>
      </c>
      <c r="E164" s="23">
        <v>49.0</v>
      </c>
      <c r="F164" s="23">
        <v>47.0</v>
      </c>
      <c r="G164" s="23">
        <v>41.0</v>
      </c>
      <c r="H164" s="23">
        <v>54.0</v>
      </c>
      <c r="I164" s="23">
        <v>56.0</v>
      </c>
      <c r="J164" s="48">
        <f>'Segmental forecast'!J139</f>
        <v>57.00696936</v>
      </c>
      <c r="K164" s="48">
        <f>'Segmental forecast'!K139</f>
        <v>59.19950173</v>
      </c>
      <c r="L164" s="48">
        <f>'Segmental forecast'!L139</f>
        <v>61.48087477</v>
      </c>
      <c r="M164" s="48">
        <f>'Segmental forecast'!M139</f>
        <v>63.85472262</v>
      </c>
      <c r="N164" s="48">
        <f>'Segmental forecast'!N139</f>
        <v>66.32482979</v>
      </c>
    </row>
    <row r="165" ht="15.75" customHeight="1">
      <c r="A165" s="29" t="s">
        <v>151</v>
      </c>
      <c r="B165" s="23">
        <v>225.0</v>
      </c>
      <c r="C165" s="23">
        <v>258.0</v>
      </c>
      <c r="D165" s="23">
        <v>278.0</v>
      </c>
      <c r="E165" s="23">
        <v>286.0</v>
      </c>
      <c r="F165" s="23">
        <v>278.0</v>
      </c>
      <c r="G165" s="23">
        <v>438.0</v>
      </c>
      <c r="H165" s="23">
        <v>278.0</v>
      </c>
      <c r="I165" s="23">
        <v>222.0</v>
      </c>
      <c r="J165" s="48">
        <f>'Segmental forecast'!J158</f>
        <v>229.4146387</v>
      </c>
      <c r="K165" s="48">
        <f>'Segmental forecast'!K158</f>
        <v>237.0769209</v>
      </c>
      <c r="L165" s="48">
        <f>'Segmental forecast'!L158</f>
        <v>244.9951177</v>
      </c>
      <c r="M165" s="48">
        <f>'Segmental forecast'!M158</f>
        <v>253.1777766</v>
      </c>
      <c r="N165" s="48">
        <f>'Segmental forecast'!N158</f>
        <v>261.6337303</v>
      </c>
    </row>
    <row r="166" ht="15.75" customHeight="1">
      <c r="A166" s="32" t="s">
        <v>162</v>
      </c>
      <c r="B166" s="33">
        <f t="shared" ref="B166:N166" si="35">+SUM(B161:B165)</f>
        <v>790</v>
      </c>
      <c r="C166" s="33">
        <f t="shared" si="35"/>
        <v>840</v>
      </c>
      <c r="D166" s="33">
        <f t="shared" si="35"/>
        <v>784</v>
      </c>
      <c r="E166" s="33">
        <f t="shared" si="35"/>
        <v>847</v>
      </c>
      <c r="F166" s="33">
        <f t="shared" si="35"/>
        <v>724</v>
      </c>
      <c r="G166" s="33">
        <f t="shared" si="35"/>
        <v>756</v>
      </c>
      <c r="H166" s="33">
        <f t="shared" si="35"/>
        <v>677</v>
      </c>
      <c r="I166" s="33">
        <f t="shared" si="35"/>
        <v>699</v>
      </c>
      <c r="J166" s="33">
        <f t="shared" si="35"/>
        <v>821.3401168</v>
      </c>
      <c r="K166" s="33">
        <f t="shared" si="35"/>
        <v>874.9038723</v>
      </c>
      <c r="L166" s="33">
        <f t="shared" si="35"/>
        <v>933.2607741</v>
      </c>
      <c r="M166" s="33">
        <f t="shared" si="35"/>
        <v>996.9466563</v>
      </c>
      <c r="N166" s="33">
        <f t="shared" si="35"/>
        <v>1066.565919</v>
      </c>
    </row>
    <row r="167" ht="15.75" customHeight="1">
      <c r="A167" s="29" t="s">
        <v>153</v>
      </c>
      <c r="B167" s="23">
        <v>69.0</v>
      </c>
      <c r="C167" s="23">
        <v>39.0</v>
      </c>
      <c r="D167" s="23">
        <v>30.0</v>
      </c>
      <c r="E167" s="23">
        <v>22.0</v>
      </c>
      <c r="F167" s="23">
        <v>18.0</v>
      </c>
      <c r="G167" s="23">
        <v>12.0</v>
      </c>
      <c r="H167" s="23">
        <v>7.0</v>
      </c>
      <c r="I167" s="23">
        <v>9.0</v>
      </c>
      <c r="J167" s="48">
        <f>'Segmental forecast'!J193</f>
        <v>23.06604564</v>
      </c>
      <c r="K167" s="48">
        <f>'Segmental forecast'!K193</f>
        <v>24.5506092</v>
      </c>
      <c r="L167" s="48">
        <f>'Segmental forecast'!L193</f>
        <v>26.14921762</v>
      </c>
      <c r="M167" s="48">
        <f>'Segmental forecast'!M193</f>
        <v>27.86937153</v>
      </c>
      <c r="N167" s="48">
        <f>'Segmental forecast'!N193</f>
        <v>29.7191416</v>
      </c>
    </row>
    <row r="168" ht="15.75" customHeight="1">
      <c r="A168" s="29" t="s">
        <v>155</v>
      </c>
      <c r="B168" s="23">
        <f t="shared" ref="B168:I168" si="36">-(SUM(B166:B167)+B82)</f>
        <v>104</v>
      </c>
      <c r="C168" s="23">
        <f t="shared" si="36"/>
        <v>264</v>
      </c>
      <c r="D168" s="23">
        <f t="shared" si="36"/>
        <v>291</v>
      </c>
      <c r="E168" s="23">
        <f t="shared" si="36"/>
        <v>159</v>
      </c>
      <c r="F168" s="23">
        <f t="shared" si="36"/>
        <v>377</v>
      </c>
      <c r="G168" s="23">
        <f t="shared" si="36"/>
        <v>318</v>
      </c>
      <c r="H168" s="23">
        <f t="shared" si="36"/>
        <v>11</v>
      </c>
      <c r="I168" s="23">
        <f t="shared" si="36"/>
        <v>50</v>
      </c>
      <c r="J168" s="49">
        <f>'Segmental forecast'!J212</f>
        <v>499.8756871</v>
      </c>
      <c r="K168" s="49">
        <f>'Segmental forecast'!K212</f>
        <v>530.6843087</v>
      </c>
      <c r="L168" s="49">
        <f>'Segmental forecast'!L212</f>
        <v>562.0692725</v>
      </c>
      <c r="M168" s="49">
        <f>'Segmental forecast'!M212</f>
        <v>593.8374675</v>
      </c>
      <c r="N168" s="49">
        <f>'Segmental forecast'!N212</f>
        <v>625.7490145</v>
      </c>
    </row>
    <row r="169" ht="15.75" customHeight="1">
      <c r="A169" s="34" t="s">
        <v>165</v>
      </c>
      <c r="B169" s="35">
        <f t="shared" ref="B169:N169" si="37">+SUM(B166:B168)</f>
        <v>963</v>
      </c>
      <c r="C169" s="35">
        <f t="shared" si="37"/>
        <v>1143</v>
      </c>
      <c r="D169" s="35">
        <f t="shared" si="37"/>
        <v>1105</v>
      </c>
      <c r="E169" s="35">
        <f t="shared" si="37"/>
        <v>1028</v>
      </c>
      <c r="F169" s="35">
        <f t="shared" si="37"/>
        <v>1119</v>
      </c>
      <c r="G169" s="35">
        <f t="shared" si="37"/>
        <v>1086</v>
      </c>
      <c r="H169" s="35">
        <f t="shared" si="37"/>
        <v>695</v>
      </c>
      <c r="I169" s="35">
        <f t="shared" si="37"/>
        <v>758</v>
      </c>
      <c r="J169" s="35">
        <f t="shared" si="37"/>
        <v>1344.281849</v>
      </c>
      <c r="K169" s="35">
        <f t="shared" si="37"/>
        <v>1430.13879</v>
      </c>
      <c r="L169" s="35">
        <f t="shared" si="37"/>
        <v>1521.479264</v>
      </c>
      <c r="M169" s="35">
        <f t="shared" si="37"/>
        <v>1618.653495</v>
      </c>
      <c r="N169" s="35">
        <f t="shared" si="37"/>
        <v>1722.034075</v>
      </c>
    </row>
    <row r="170" ht="15.75" customHeight="1">
      <c r="A170" s="37" t="s">
        <v>157</v>
      </c>
      <c r="B170" s="38">
        <f t="shared" ref="B170:I170" si="38">+B169+B82</f>
        <v>0</v>
      </c>
      <c r="C170" s="38">
        <f t="shared" si="38"/>
        <v>0</v>
      </c>
      <c r="D170" s="38">
        <f t="shared" si="38"/>
        <v>0</v>
      </c>
      <c r="E170" s="38">
        <f t="shared" si="38"/>
        <v>0</v>
      </c>
      <c r="F170" s="38">
        <f t="shared" si="38"/>
        <v>0</v>
      </c>
      <c r="G170" s="38">
        <f t="shared" si="38"/>
        <v>0</v>
      </c>
      <c r="H170" s="38">
        <f t="shared" si="38"/>
        <v>0</v>
      </c>
      <c r="I170" s="38">
        <f t="shared" si="38"/>
        <v>0</v>
      </c>
    </row>
    <row r="171" ht="15.75" customHeight="1">
      <c r="A171" s="27" t="s">
        <v>166</v>
      </c>
    </row>
    <row r="172" ht="15.75" customHeight="1">
      <c r="A172" s="29" t="s">
        <v>144</v>
      </c>
      <c r="B172" s="23">
        <v>121.0</v>
      </c>
      <c r="C172" s="23">
        <v>133.0</v>
      </c>
      <c r="D172" s="23">
        <v>140.0</v>
      </c>
      <c r="E172" s="23">
        <v>160.0</v>
      </c>
      <c r="F172" s="23">
        <v>149.0</v>
      </c>
      <c r="G172" s="23">
        <v>148.0</v>
      </c>
      <c r="H172" s="23">
        <v>130.0</v>
      </c>
      <c r="I172" s="23">
        <v>124.0</v>
      </c>
    </row>
    <row r="173" ht="15.75" customHeight="1">
      <c r="A173" s="29" t="s">
        <v>148</v>
      </c>
      <c r="B173" s="23">
        <f>75+12+27</f>
        <v>114</v>
      </c>
      <c r="C173" s="23">
        <v>85.0</v>
      </c>
      <c r="D173" s="23">
        <v>106.0</v>
      </c>
      <c r="E173" s="23">
        <v>116.0</v>
      </c>
      <c r="F173" s="23">
        <v>111.0</v>
      </c>
      <c r="G173" s="23">
        <v>132.0</v>
      </c>
      <c r="H173" s="23">
        <v>136.0</v>
      </c>
      <c r="I173" s="23">
        <v>134.0</v>
      </c>
    </row>
    <row r="174" ht="15.75" customHeight="1">
      <c r="A174" s="29" t="s">
        <v>149</v>
      </c>
      <c r="B174" s="23">
        <v>46.0</v>
      </c>
      <c r="C174" s="23">
        <v>48.0</v>
      </c>
      <c r="D174" s="23">
        <v>54.0</v>
      </c>
      <c r="E174" s="23">
        <v>56.0</v>
      </c>
      <c r="F174" s="23">
        <v>50.0</v>
      </c>
      <c r="G174" s="23">
        <v>44.0</v>
      </c>
      <c r="H174" s="23">
        <v>46.0</v>
      </c>
      <c r="I174" s="23">
        <v>41.0</v>
      </c>
    </row>
    <row r="175" ht="15.75" customHeight="1">
      <c r="A175" s="29" t="s">
        <v>150</v>
      </c>
      <c r="B175" s="23">
        <v>22.0</v>
      </c>
      <c r="C175" s="23">
        <v>42.0</v>
      </c>
      <c r="D175" s="23">
        <v>54.0</v>
      </c>
      <c r="E175" s="23">
        <v>55.0</v>
      </c>
      <c r="F175" s="23">
        <v>53.0</v>
      </c>
      <c r="G175" s="23">
        <v>46.0</v>
      </c>
      <c r="H175" s="23">
        <v>43.0</v>
      </c>
      <c r="I175" s="23">
        <v>42.0</v>
      </c>
    </row>
    <row r="176" ht="15.75" customHeight="1">
      <c r="A176" s="29" t="s">
        <v>151</v>
      </c>
      <c r="B176" s="23">
        <v>210.0</v>
      </c>
      <c r="C176" s="23">
        <v>230.0</v>
      </c>
      <c r="D176" s="23">
        <v>233.0</v>
      </c>
      <c r="E176" s="23">
        <v>217.0</v>
      </c>
      <c r="F176" s="23">
        <v>195.0</v>
      </c>
      <c r="G176" s="23">
        <v>214.0</v>
      </c>
      <c r="H176" s="23">
        <v>222.0</v>
      </c>
      <c r="I176" s="23">
        <v>220.0</v>
      </c>
    </row>
    <row r="177" ht="15.75" customHeight="1">
      <c r="A177" s="32" t="s">
        <v>162</v>
      </c>
      <c r="B177" s="33">
        <f t="shared" ref="B177:C177" si="39">+SUM(B172:B176)</f>
        <v>513</v>
      </c>
      <c r="C177" s="33">
        <f t="shared" si="39"/>
        <v>538</v>
      </c>
      <c r="D177" s="33">
        <v>587.0</v>
      </c>
      <c r="E177" s="33">
        <f t="shared" ref="E177:I177" si="40">+SUM(E172:E176)</f>
        <v>604</v>
      </c>
      <c r="F177" s="33">
        <f t="shared" si="40"/>
        <v>558</v>
      </c>
      <c r="G177" s="33">
        <f t="shared" si="40"/>
        <v>584</v>
      </c>
      <c r="H177" s="33">
        <f t="shared" si="40"/>
        <v>577</v>
      </c>
      <c r="I177" s="33">
        <f t="shared" si="40"/>
        <v>561</v>
      </c>
    </row>
    <row r="178" ht="15.75" customHeight="1">
      <c r="A178" s="29" t="s">
        <v>153</v>
      </c>
      <c r="B178" s="23">
        <v>18.0</v>
      </c>
      <c r="C178" s="23">
        <v>27.0</v>
      </c>
      <c r="D178" s="23">
        <v>28.0</v>
      </c>
      <c r="E178" s="23">
        <v>33.0</v>
      </c>
      <c r="F178" s="23">
        <v>31.0</v>
      </c>
      <c r="G178" s="23">
        <v>25.0</v>
      </c>
      <c r="H178" s="23">
        <v>26.0</v>
      </c>
      <c r="I178" s="23">
        <v>22.0</v>
      </c>
    </row>
    <row r="179" ht="15.75" customHeight="1">
      <c r="A179" s="29" t="s">
        <v>155</v>
      </c>
      <c r="B179" s="23">
        <v>75.0</v>
      </c>
      <c r="C179" s="23">
        <v>84.0</v>
      </c>
      <c r="D179" s="23">
        <v>91.0</v>
      </c>
      <c r="E179" s="23">
        <v>110.0</v>
      </c>
      <c r="F179" s="23">
        <v>116.0</v>
      </c>
      <c r="G179" s="23">
        <v>112.0</v>
      </c>
      <c r="H179" s="23">
        <v>141.0</v>
      </c>
      <c r="I179" s="23">
        <v>134.0</v>
      </c>
    </row>
    <row r="180" ht="15.75" customHeight="1">
      <c r="A180" s="34" t="s">
        <v>167</v>
      </c>
      <c r="B180" s="35">
        <f t="shared" ref="B180:I180" si="41">+SUM(B177:B179)</f>
        <v>606</v>
      </c>
      <c r="C180" s="35">
        <f t="shared" si="41"/>
        <v>649</v>
      </c>
      <c r="D180" s="35">
        <f t="shared" si="41"/>
        <v>706</v>
      </c>
      <c r="E180" s="35">
        <f t="shared" si="41"/>
        <v>747</v>
      </c>
      <c r="F180" s="35">
        <f t="shared" si="41"/>
        <v>705</v>
      </c>
      <c r="G180" s="35">
        <f t="shared" si="41"/>
        <v>721</v>
      </c>
      <c r="H180" s="35">
        <f t="shared" si="41"/>
        <v>744</v>
      </c>
      <c r="I180" s="35">
        <f t="shared" si="41"/>
        <v>717</v>
      </c>
    </row>
    <row r="181" ht="15.75" customHeight="1">
      <c r="A181" s="37" t="s">
        <v>157</v>
      </c>
      <c r="B181" s="38">
        <f t="shared" ref="B181:I181" si="42">+B180-B66</f>
        <v>0</v>
      </c>
      <c r="C181" s="38">
        <f t="shared" si="42"/>
        <v>0</v>
      </c>
      <c r="D181" s="38">
        <f t="shared" si="42"/>
        <v>0</v>
      </c>
      <c r="E181" s="38">
        <f t="shared" si="42"/>
        <v>0</v>
      </c>
      <c r="F181" s="38">
        <f t="shared" si="42"/>
        <v>0</v>
      </c>
      <c r="G181" s="38">
        <f t="shared" si="42"/>
        <v>0</v>
      </c>
      <c r="H181" s="38">
        <f t="shared" si="42"/>
        <v>0</v>
      </c>
      <c r="I181" s="38">
        <f t="shared" si="42"/>
        <v>0</v>
      </c>
    </row>
    <row r="182" ht="15.75" customHeight="1">
      <c r="A182" s="39" t="s">
        <v>168</v>
      </c>
      <c r="B182" s="39"/>
      <c r="C182" s="39"/>
      <c r="D182" s="39"/>
      <c r="E182" s="39"/>
      <c r="F182" s="39"/>
      <c r="G182" s="39"/>
      <c r="H182" s="39"/>
      <c r="I182" s="39"/>
    </row>
    <row r="183" ht="15.75" customHeight="1">
      <c r="A183" s="40" t="s">
        <v>169</v>
      </c>
    </row>
    <row r="184" ht="15.75" customHeight="1">
      <c r="A184" s="50" t="s">
        <v>144</v>
      </c>
      <c r="B184" s="51"/>
      <c r="C184" s="52">
        <v>0.0745269286754003</v>
      </c>
      <c r="D184" s="52">
        <v>0.03061500948252506</v>
      </c>
      <c r="E184" s="52">
        <v>-0.024301581958936384</v>
      </c>
      <c r="F184" s="52">
        <v>0.07048131942107035</v>
      </c>
      <c r="G184" s="52">
        <v>-0.08917117343730348</v>
      </c>
      <c r="H184" s="52">
        <v>0.18606738470035902</v>
      </c>
      <c r="I184" s="51">
        <v>0.07</v>
      </c>
      <c r="J184" s="53">
        <v>0.04545969812615926</v>
      </c>
    </row>
    <row r="185" ht="15.75" customHeight="1">
      <c r="A185" s="54" t="s">
        <v>145</v>
      </c>
      <c r="B185" s="55"/>
      <c r="C185" s="52">
        <v>0.0932283094286386</v>
      </c>
      <c r="D185" s="52">
        <v>0.04140230132272287</v>
      </c>
      <c r="E185" s="52">
        <v>-0.03738124741842214</v>
      </c>
      <c r="F185" s="52">
        <v>0.07755846384895945</v>
      </c>
      <c r="G185" s="52">
        <v>-0.07127924340467895</v>
      </c>
      <c r="H185" s="52">
        <v>0.24815092721620752</v>
      </c>
      <c r="I185" s="55">
        <v>0.05</v>
      </c>
      <c r="J185" s="53">
        <v>0.05738278728477534</v>
      </c>
    </row>
    <row r="186" ht="15.75" customHeight="1">
      <c r="A186" s="54" t="s">
        <v>146</v>
      </c>
      <c r="B186" s="55"/>
      <c r="C186" s="52">
        <v>0.0761904761904762</v>
      </c>
      <c r="D186" s="52">
        <v>0.029498525073746312</v>
      </c>
      <c r="E186" s="52">
        <v>0.010642652476463364</v>
      </c>
      <c r="F186" s="52">
        <v>0.06520858647225597</v>
      </c>
      <c r="G186" s="52">
        <v>-0.11806083650190113</v>
      </c>
      <c r="H186" s="52">
        <v>0.0838542789394266</v>
      </c>
      <c r="I186" s="55">
        <v>0.09</v>
      </c>
      <c r="J186" s="53">
        <v>0.03390481180720962</v>
      </c>
    </row>
    <row r="187" ht="15.75" customHeight="1">
      <c r="A187" s="54" t="s">
        <v>147</v>
      </c>
      <c r="B187" s="55"/>
      <c r="C187" s="52">
        <v>-0.12742718446601942</v>
      </c>
      <c r="D187" s="52">
        <v>-0.10152990264255911</v>
      </c>
      <c r="E187" s="52">
        <v>-0.07894736842105263</v>
      </c>
      <c r="F187" s="52">
        <v>0.0033613445378151263</v>
      </c>
      <c r="G187" s="52">
        <v>-0.135678391959799</v>
      </c>
      <c r="H187" s="52">
        <v>-0.01744186046511628</v>
      </c>
      <c r="I187" s="55">
        <v>0.25</v>
      </c>
      <c r="J187" s="53">
        <v>-0.029666194773818766</v>
      </c>
    </row>
    <row r="188" ht="15.75" customHeight="1">
      <c r="A188" s="50" t="s">
        <v>148</v>
      </c>
      <c r="B188" s="51"/>
      <c r="C188" s="52">
        <v>-0.3134978229317852</v>
      </c>
      <c r="D188" s="52">
        <v>0.0531183932346723</v>
      </c>
      <c r="E188" s="52">
        <v>0.15959849435382686</v>
      </c>
      <c r="F188" s="52">
        <v>0.06167496212940922</v>
      </c>
      <c r="G188" s="52">
        <v>-0.04739094985731757</v>
      </c>
      <c r="H188" s="52">
        <v>0.2256338932277736</v>
      </c>
      <c r="I188" s="51">
        <v>0.12</v>
      </c>
      <c r="J188" s="53">
        <v>0.0370195671652256</v>
      </c>
    </row>
    <row r="189" ht="15.75" customHeight="1">
      <c r="A189" s="54" t="s">
        <v>145</v>
      </c>
      <c r="B189" s="55"/>
      <c r="C189" s="52">
        <v>-0.3133169934640523</v>
      </c>
      <c r="D189" s="52">
        <v>0.02954590521514971</v>
      </c>
      <c r="E189" s="52">
        <v>0.13154853620955315</v>
      </c>
      <c r="F189" s="52">
        <v>0.07114893617021277</v>
      </c>
      <c r="G189" s="52">
        <v>-0.06372159542348642</v>
      </c>
      <c r="H189" s="52">
        <v>0.18295994568906992</v>
      </c>
      <c r="I189" s="55">
        <v>0.09</v>
      </c>
      <c r="J189" s="53">
        <v>0.018309247770920977</v>
      </c>
    </row>
    <row r="190" ht="15.75" customHeight="1">
      <c r="A190" s="54" t="s">
        <v>146</v>
      </c>
      <c r="B190" s="55"/>
      <c r="C190" s="52">
        <v>-0.3004557291666667</v>
      </c>
      <c r="D190" s="52">
        <v>0.11447184737087017</v>
      </c>
      <c r="E190" s="52">
        <v>0.22755741127348644</v>
      </c>
      <c r="F190" s="52">
        <v>0.05</v>
      </c>
      <c r="G190" s="52">
        <v>-0.01101392938127632</v>
      </c>
      <c r="H190" s="52">
        <v>0.30887651490337376</v>
      </c>
      <c r="I190" s="55">
        <v>0.16</v>
      </c>
      <c r="J190" s="53">
        <v>0.0784908735713982</v>
      </c>
    </row>
    <row r="191" ht="15.75" customHeight="1">
      <c r="A191" s="54" t="s">
        <v>147</v>
      </c>
      <c r="B191" s="55"/>
      <c r="C191" s="52">
        <v>-0.3815789473684211</v>
      </c>
      <c r="D191" s="52">
        <v>0.018617021276595744</v>
      </c>
      <c r="E191" s="52">
        <v>0.11488250652741515</v>
      </c>
      <c r="F191" s="52">
        <v>0.0117096018735363</v>
      </c>
      <c r="G191" s="52">
        <v>-0.06944444444444445</v>
      </c>
      <c r="H191" s="52">
        <v>0.21890547263681592</v>
      </c>
      <c r="I191" s="55">
        <v>0.17</v>
      </c>
      <c r="J191" s="53">
        <v>0.011870172928785382</v>
      </c>
    </row>
    <row r="192" ht="15.75" customHeight="1">
      <c r="A192" s="50" t="s">
        <v>149</v>
      </c>
      <c r="B192" s="51"/>
      <c r="C192" s="52">
        <v>0.23410498858819692</v>
      </c>
      <c r="D192" s="52">
        <v>0.11941875825627477</v>
      </c>
      <c r="E192" s="52">
        <v>0.21170639603493038</v>
      </c>
      <c r="F192" s="52">
        <v>0.20919361121932217</v>
      </c>
      <c r="G192" s="52">
        <v>0.07586984536082474</v>
      </c>
      <c r="H192" s="52">
        <v>0.24120377301991316</v>
      </c>
      <c r="I192" s="51">
        <v>-0.13</v>
      </c>
      <c r="J192" s="53">
        <v>0.13735676749706602</v>
      </c>
    </row>
    <row r="193" ht="15.75" customHeight="1">
      <c r="A193" s="54" t="s">
        <v>145</v>
      </c>
      <c r="B193" s="55"/>
      <c r="C193" s="52">
        <v>0.28918650793650796</v>
      </c>
      <c r="D193" s="52">
        <v>0.12350904193920739</v>
      </c>
      <c r="E193" s="52">
        <v>0.19726027397260273</v>
      </c>
      <c r="F193" s="52">
        <v>0.21910755148741418</v>
      </c>
      <c r="G193" s="52">
        <v>0.08751759737212576</v>
      </c>
      <c r="H193" s="52">
        <v>0.2401294498381877</v>
      </c>
      <c r="I193" s="55">
        <v>-0.1</v>
      </c>
      <c r="J193" s="53">
        <v>0.1509586317922922</v>
      </c>
    </row>
    <row r="194" ht="15.75" customHeight="1">
      <c r="A194" s="54" t="s">
        <v>146</v>
      </c>
      <c r="B194" s="55"/>
      <c r="C194" s="52">
        <v>0.14054054054054055</v>
      </c>
      <c r="D194" s="52">
        <v>0.12606635071090047</v>
      </c>
      <c r="E194" s="52">
        <v>0.26936026936026936</v>
      </c>
      <c r="F194" s="52">
        <v>0.1989389920424403</v>
      </c>
      <c r="G194" s="52">
        <v>0.048672566371681415</v>
      </c>
      <c r="H194" s="52">
        <v>0.2378691983122363</v>
      </c>
      <c r="I194" s="55">
        <v>-0.21</v>
      </c>
      <c r="J194" s="53">
        <v>0.11592113104829549</v>
      </c>
    </row>
    <row r="195" ht="15.75" customHeight="1">
      <c r="A195" s="54" t="s">
        <v>147</v>
      </c>
      <c r="B195" s="55"/>
      <c r="C195" s="52">
        <v>0.03968253968253968</v>
      </c>
      <c r="D195" s="52">
        <v>-0.015267175572519083</v>
      </c>
      <c r="E195" s="52">
        <v>0.007751937984496124</v>
      </c>
      <c r="F195" s="52">
        <v>0.06153846153846154</v>
      </c>
      <c r="G195" s="52">
        <v>0.07246376811594203</v>
      </c>
      <c r="H195" s="52">
        <v>0.31756756756756754</v>
      </c>
      <c r="I195" s="55">
        <v>-0.06</v>
      </c>
      <c r="J195" s="53">
        <v>0.06053387133092684</v>
      </c>
    </row>
    <row r="196" ht="15.75" customHeight="1">
      <c r="A196" s="50" t="s">
        <v>150</v>
      </c>
      <c r="B196" s="51"/>
      <c r="C196" s="52">
        <v>4.717880794701987</v>
      </c>
      <c r="D196" s="52">
        <v>0.09728978457261987</v>
      </c>
      <c r="E196" s="52">
        <v>0.09056364787840405</v>
      </c>
      <c r="F196" s="52">
        <v>0.017034456058846303</v>
      </c>
      <c r="G196" s="52">
        <v>-0.04301484583174724</v>
      </c>
      <c r="H196" s="52">
        <v>0.06264916467780429</v>
      </c>
      <c r="I196" s="51">
        <v>0.16</v>
      </c>
      <c r="J196" s="53">
        <v>0.728914714579702</v>
      </c>
    </row>
    <row r="197" ht="15.75" customHeight="1">
      <c r="A197" s="54" t="s">
        <v>145</v>
      </c>
      <c r="B197" s="55"/>
      <c r="C197" s="52">
        <v>5.482300884955753</v>
      </c>
      <c r="D197" s="52">
        <v>0.12116040955631399</v>
      </c>
      <c r="E197" s="52">
        <v>0.0882800608828006</v>
      </c>
      <c r="F197" s="52">
        <v>0.013146853146853148</v>
      </c>
      <c r="G197" s="52">
        <v>-0.04776366648260629</v>
      </c>
      <c r="H197" s="52">
        <v>0.060887213685126125</v>
      </c>
      <c r="I197" s="55">
        <v>0.17</v>
      </c>
      <c r="J197" s="53">
        <v>0.8411445365348913</v>
      </c>
    </row>
    <row r="198" ht="15.75" customHeight="1">
      <c r="A198" s="54" t="s">
        <v>146</v>
      </c>
      <c r="B198" s="55"/>
      <c r="C198" s="52">
        <v>3.856521739130435</v>
      </c>
      <c r="D198" s="52">
        <v>0.06087735004476276</v>
      </c>
      <c r="E198" s="52">
        <v>0.13670886075949368</v>
      </c>
      <c r="F198" s="52">
        <v>0.035634743875278395</v>
      </c>
      <c r="G198" s="52">
        <v>-0.021505376344086023</v>
      </c>
      <c r="H198" s="52">
        <v>0.0945054945054945</v>
      </c>
      <c r="I198" s="55">
        <v>0.12</v>
      </c>
      <c r="J198" s="53">
        <v>0.6118204017101968</v>
      </c>
    </row>
    <row r="199" ht="15.75" customHeight="1">
      <c r="A199" s="54" t="s">
        <v>147</v>
      </c>
      <c r="B199" s="55"/>
      <c r="C199" s="52">
        <v>2.6986301369863015</v>
      </c>
      <c r="D199" s="52">
        <v>-0.011111111111111112</v>
      </c>
      <c r="E199" s="52">
        <v>-0.08614232209737828</v>
      </c>
      <c r="F199" s="52">
        <v>-0.028688524590163935</v>
      </c>
      <c r="G199" s="52">
        <v>-0.0970464135021097</v>
      </c>
      <c r="H199" s="52">
        <v>-0.11214953271028037</v>
      </c>
      <c r="I199" s="55">
        <v>0.28</v>
      </c>
      <c r="J199" s="53">
        <v>0.377641747567894</v>
      </c>
    </row>
    <row r="200" ht="15.75" customHeight="1">
      <c r="A200" s="50" t="s">
        <v>151</v>
      </c>
      <c r="B200" s="51"/>
      <c r="C200" s="52">
        <v>-0.3652173913043478</v>
      </c>
      <c r="D200" s="52">
        <v>0.0</v>
      </c>
      <c r="E200" s="52">
        <v>0.2054794520547945</v>
      </c>
      <c r="F200" s="52">
        <v>-0.5227272727272727</v>
      </c>
      <c r="G200" s="52">
        <v>-0.2857142857142857</v>
      </c>
      <c r="H200" s="52">
        <v>-0.16666666666666666</v>
      </c>
      <c r="I200" s="51">
        <v>3.02</v>
      </c>
      <c r="J200" s="53">
        <v>0.2693076908060317</v>
      </c>
    </row>
    <row r="201" ht="15.75" customHeight="1">
      <c r="A201" s="56" t="s">
        <v>152</v>
      </c>
      <c r="B201" s="57"/>
      <c r="C201" s="58">
        <v>0.0629246367722379</v>
      </c>
      <c r="D201" s="52">
        <v>0.0565771790080965</v>
      </c>
      <c r="E201" s="52">
        <v>0.06986628610430304</v>
      </c>
      <c r="F201" s="52">
        <v>0.07925184862983906</v>
      </c>
      <c r="G201" s="52">
        <v>-0.04433338707077221</v>
      </c>
      <c r="H201" s="52">
        <v>0.18907444894286998</v>
      </c>
      <c r="I201" s="57">
        <v>0.06</v>
      </c>
      <c r="J201" s="53">
        <v>0.06762300176951061</v>
      </c>
    </row>
    <row r="202" ht="15.75" customHeight="1">
      <c r="A202" s="50" t="s">
        <v>153</v>
      </c>
      <c r="B202" s="51"/>
      <c r="C202" s="52">
        <v>-0.013622603430877902</v>
      </c>
      <c r="D202" s="52">
        <v>0.044501278772378514</v>
      </c>
      <c r="E202" s="52">
        <v>-0.07639569049951028</v>
      </c>
      <c r="F202" s="52">
        <v>0.010604453870625663</v>
      </c>
      <c r="G202" s="52">
        <v>-0.03147953830010493</v>
      </c>
      <c r="H202" s="52">
        <v>0.19447453954496208</v>
      </c>
      <c r="I202" s="51">
        <v>0.07</v>
      </c>
      <c r="J202" s="53">
        <v>0.028297491422496164</v>
      </c>
    </row>
    <row r="203" ht="15.75" customHeight="1">
      <c r="A203" s="54" t="s">
        <v>145</v>
      </c>
      <c r="B203" s="55"/>
      <c r="C203" s="52">
        <v>0.08477999781635549</v>
      </c>
      <c r="D203" s="52">
        <v>0.0608927582909768</v>
      </c>
      <c r="E203" s="52">
        <v>0.056306626820359564</v>
      </c>
      <c r="F203" s="52">
        <v>0.08774923657266032</v>
      </c>
      <c r="G203" s="52">
        <v>-0.03785814548757328</v>
      </c>
      <c r="H203" s="52">
        <v>-0.9147822355717657</v>
      </c>
      <c r="I203" s="55">
        <v>0.06</v>
      </c>
      <c r="J203" s="53">
        <v>-0.08613025165128382</v>
      </c>
    </row>
    <row r="204" ht="15.75" customHeight="1">
      <c r="A204" s="54" t="s">
        <v>146</v>
      </c>
      <c r="B204" s="55"/>
      <c r="C204" s="52">
        <v>0.04978580525645479</v>
      </c>
      <c r="D204" s="52">
        <v>0.06474026690195213</v>
      </c>
      <c r="E204" s="52">
        <v>0.11176714315309716</v>
      </c>
      <c r="F204" s="52">
        <v>0.07612037640920526</v>
      </c>
      <c r="G204" s="52">
        <v>-0.051688311688311686</v>
      </c>
      <c r="H204" s="52">
        <v>-0.9905048845065278</v>
      </c>
      <c r="I204" s="55">
        <v>-0.03</v>
      </c>
      <c r="J204" s="53">
        <v>-0.10996851492487573</v>
      </c>
    </row>
    <row r="205" ht="15.75" customHeight="1">
      <c r="A205" s="54" t="s">
        <v>147</v>
      </c>
      <c r="B205" s="55"/>
      <c r="C205" s="52">
        <v>-0.16331096196868009</v>
      </c>
      <c r="D205" s="52">
        <v>-0.047459893048128345</v>
      </c>
      <c r="E205" s="52">
        <v>-0.020350877192982456</v>
      </c>
      <c r="F205" s="52">
        <v>0.0057306590257879654</v>
      </c>
      <c r="G205" s="52">
        <v>-0.08831908831908832</v>
      </c>
      <c r="H205" s="52">
        <v>-0.97734375</v>
      </c>
      <c r="I205" s="55">
        <v>-0.16</v>
      </c>
      <c r="J205" s="53">
        <v>-0.20729341592901301</v>
      </c>
    </row>
    <row r="206" ht="15.75" customHeight="1">
      <c r="A206" s="54" t="s">
        <v>154</v>
      </c>
      <c r="B206" s="55"/>
      <c r="C206" s="52"/>
      <c r="D206" s="52"/>
      <c r="E206" s="52"/>
      <c r="F206" s="52">
        <v>0.02912621359223301</v>
      </c>
      <c r="G206" s="52">
        <v>-0.1509433962264151</v>
      </c>
      <c r="H206" s="52">
        <v>-0.044444444444444446</v>
      </c>
      <c r="I206" s="55">
        <v>0.42</v>
      </c>
      <c r="J206" s="53">
        <v>0.06343459323034337</v>
      </c>
    </row>
    <row r="207" ht="15.75" customHeight="1">
      <c r="A207" s="54" t="s">
        <v>155</v>
      </c>
      <c r="B207" s="55"/>
      <c r="C207" s="52">
        <v>0.04878048780487805</v>
      </c>
      <c r="D207" s="52">
        <v>-1.872093023255814</v>
      </c>
      <c r="E207" s="52">
        <v>-0.6533333333333333</v>
      </c>
      <c r="F207" s="52">
        <v>-1.2692307692307692</v>
      </c>
      <c r="G207" s="52">
        <v>-0.5714285714285714</v>
      </c>
      <c r="H207" s="52">
        <v>-4.636363636363637</v>
      </c>
      <c r="I207" s="55">
        <v>0.0</v>
      </c>
      <c r="J207" s="53">
        <v>-1.2790955494010352</v>
      </c>
    </row>
    <row r="208" ht="15.75" customHeight="1">
      <c r="A208" s="59" t="s">
        <v>156</v>
      </c>
      <c r="B208" s="60"/>
      <c r="C208" s="58">
        <v>0.058004640371229696</v>
      </c>
      <c r="D208" s="52">
        <v>0.060971089696071165</v>
      </c>
      <c r="E208" s="52">
        <v>0.0595924308588064</v>
      </c>
      <c r="F208" s="52">
        <v>0.07473143390938813</v>
      </c>
      <c r="G208" s="52">
        <v>-0.043817266150267146</v>
      </c>
      <c r="H208" s="52">
        <v>0.1907600994572628</v>
      </c>
      <c r="I208" s="60">
        <v>0.06</v>
      </c>
      <c r="J208" s="61">
        <v>0.06574891830607014</v>
      </c>
      <c r="K208" s="61">
        <v>0.06574891830607014</v>
      </c>
      <c r="L208" s="61">
        <v>0.06574891830607014</v>
      </c>
      <c r="M208" s="61">
        <v>0.06574891830607014</v>
      </c>
      <c r="N208" s="61">
        <v>0.06574891830607014</v>
      </c>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48.86"/>
    <col customWidth="1" min="2" max="14" width="11.86"/>
    <col customWidth="1" min="15" max="15" width="15.14"/>
    <col customWidth="1" min="16" max="26" width="8.86"/>
  </cols>
  <sheetData>
    <row r="1" ht="60.0" customHeight="1">
      <c r="A1" s="19" t="s">
        <v>170</v>
      </c>
      <c r="B1" s="20">
        <f t="shared" ref="B1:H1" si="1">+C1-1</f>
        <v>2015</v>
      </c>
      <c r="C1" s="20">
        <f t="shared" si="1"/>
        <v>2016</v>
      </c>
      <c r="D1" s="20">
        <f t="shared" si="1"/>
        <v>2017</v>
      </c>
      <c r="E1" s="20">
        <f t="shared" si="1"/>
        <v>2018</v>
      </c>
      <c r="F1" s="20">
        <f t="shared" si="1"/>
        <v>2019</v>
      </c>
      <c r="G1" s="20">
        <f t="shared" si="1"/>
        <v>2020</v>
      </c>
      <c r="H1" s="20">
        <f t="shared" si="1"/>
        <v>2021</v>
      </c>
      <c r="I1" s="20">
        <v>2022.0</v>
      </c>
      <c r="J1" s="62">
        <f t="shared" ref="J1:N1" si="2">+I1+1</f>
        <v>2023</v>
      </c>
      <c r="K1" s="62">
        <f t="shared" si="2"/>
        <v>2024</v>
      </c>
      <c r="L1" s="62">
        <f t="shared" si="2"/>
        <v>2025</v>
      </c>
      <c r="M1" s="62">
        <f t="shared" si="2"/>
        <v>2026</v>
      </c>
      <c r="N1" s="62">
        <f t="shared" si="2"/>
        <v>2027</v>
      </c>
    </row>
    <row r="2">
      <c r="A2" s="63" t="s">
        <v>171</v>
      </c>
      <c r="B2" s="63"/>
      <c r="C2" s="63"/>
      <c r="D2" s="63"/>
      <c r="E2" s="63"/>
      <c r="F2" s="63"/>
      <c r="G2" s="63"/>
      <c r="H2" s="63"/>
      <c r="I2" s="63"/>
      <c r="J2" s="62"/>
      <c r="K2" s="62"/>
      <c r="L2" s="62"/>
      <c r="M2" s="62"/>
      <c r="N2" s="62"/>
    </row>
    <row r="3">
      <c r="A3" s="28" t="s">
        <v>172</v>
      </c>
      <c r="B3" s="23">
        <f>Historicals!B2</f>
        <v>30601</v>
      </c>
      <c r="C3" s="23">
        <f>Historicals!C2</f>
        <v>32376</v>
      </c>
      <c r="D3" s="23">
        <f>Historicals!D2</f>
        <v>34350</v>
      </c>
      <c r="E3" s="23">
        <f t="shared" ref="E3:I3" si="3">E22+E53+E84+E115+E146+E165+E200</f>
        <v>36397</v>
      </c>
      <c r="F3" s="23">
        <f t="shared" si="3"/>
        <v>39117</v>
      </c>
      <c r="G3" s="23">
        <f t="shared" si="3"/>
        <v>37725</v>
      </c>
      <c r="H3" s="23">
        <f t="shared" si="3"/>
        <v>44538</v>
      </c>
      <c r="I3" s="23">
        <f t="shared" si="3"/>
        <v>46710</v>
      </c>
      <c r="J3" s="23">
        <f t="shared" ref="J3:N3" si="4">I3*(J4+1)</f>
        <v>49693.28636</v>
      </c>
      <c r="K3" s="23">
        <f t="shared" si="4"/>
        <v>52867.11002</v>
      </c>
      <c r="L3" s="23">
        <f t="shared" si="4"/>
        <v>56243.64027</v>
      </c>
      <c r="M3" s="23">
        <f t="shared" si="4"/>
        <v>59835.82363</v>
      </c>
      <c r="N3" s="23">
        <f t="shared" si="4"/>
        <v>63657.43349</v>
      </c>
      <c r="O3" s="64" t="s">
        <v>173</v>
      </c>
    </row>
    <row r="4">
      <c r="A4" s="65" t="s">
        <v>138</v>
      </c>
      <c r="B4" s="52" t="str">
        <f t="shared" ref="B4:I4" si="5">+IFERROR(B3/A3-1,"nm")</f>
        <v>nm</v>
      </c>
      <c r="C4" s="52">
        <f t="shared" si="5"/>
        <v>0.05800464037</v>
      </c>
      <c r="D4" s="52">
        <f t="shared" si="5"/>
        <v>0.0609710897</v>
      </c>
      <c r="E4" s="52">
        <f t="shared" si="5"/>
        <v>0.05959243086</v>
      </c>
      <c r="F4" s="52">
        <f t="shared" si="5"/>
        <v>0.07473143391</v>
      </c>
      <c r="G4" s="52">
        <f t="shared" si="5"/>
        <v>-0.03558555104</v>
      </c>
      <c r="H4" s="52">
        <f t="shared" si="5"/>
        <v>0.1805964215</v>
      </c>
      <c r="I4" s="52">
        <f t="shared" si="5"/>
        <v>0.04876734474</v>
      </c>
      <c r="J4" s="52">
        <f>AVERAGE(B4:I4)</f>
        <v>0.06386825857</v>
      </c>
      <c r="K4" s="52">
        <v>0.0638682585724003</v>
      </c>
      <c r="L4" s="52">
        <v>0.0638682585724003</v>
      </c>
      <c r="M4" s="52">
        <v>0.0638682585724003</v>
      </c>
      <c r="N4" s="52">
        <v>0.0638682585724003</v>
      </c>
      <c r="O4" s="66" t="s">
        <v>174</v>
      </c>
    </row>
    <row r="5">
      <c r="A5" s="28" t="s">
        <v>175</v>
      </c>
      <c r="B5" s="23">
        <f t="shared" ref="B5:F5" si="6">B36+B67+B98+B129+B148+B183+B202</f>
        <v>2111</v>
      </c>
      <c r="C5" s="23">
        <f t="shared" si="6"/>
        <v>2375</v>
      </c>
      <c r="D5" s="23">
        <f t="shared" si="6"/>
        <v>3004</v>
      </c>
      <c r="E5" s="23">
        <f t="shared" si="6"/>
        <v>5126</v>
      </c>
      <c r="F5" s="23">
        <f t="shared" si="6"/>
        <v>5555</v>
      </c>
      <c r="G5" s="23">
        <f>G36+G67+G98+G129+G148+G183+174</f>
        <v>5726</v>
      </c>
      <c r="H5" s="23">
        <f t="shared" ref="H5:I5" si="7">H36+H67+H98+H129+H148+H183+H202</f>
        <v>7667</v>
      </c>
      <c r="I5" s="23">
        <f t="shared" si="7"/>
        <v>7573</v>
      </c>
      <c r="J5" s="23">
        <f t="shared" ref="J5:N5" si="8">J8+J12</f>
        <v>7466.081197</v>
      </c>
      <c r="K5" s="23">
        <f t="shared" si="8"/>
        <v>7942.926801</v>
      </c>
      <c r="L5" s="23">
        <f t="shared" si="8"/>
        <v>8450.227704</v>
      </c>
      <c r="M5" s="23">
        <f t="shared" si="8"/>
        <v>8989.929032</v>
      </c>
      <c r="N5" s="23">
        <f t="shared" si="8"/>
        <v>9564.100144</v>
      </c>
      <c r="O5" s="67"/>
    </row>
    <row r="6">
      <c r="A6" s="65" t="s">
        <v>138</v>
      </c>
      <c r="B6" s="52" t="str">
        <f t="shared" ref="B6:D6" si="9">+IFERROR(B5/A5-1,"nm")</f>
        <v>nm</v>
      </c>
      <c r="C6" s="52">
        <f t="shared" si="9"/>
        <v>0.1250592136</v>
      </c>
      <c r="D6" s="52">
        <f t="shared" si="9"/>
        <v>0.2648421053</v>
      </c>
      <c r="E6" s="52">
        <f>+IFERROR(D5/E5-1,"nm")</f>
        <v>-0.4139680062</v>
      </c>
      <c r="F6" s="52">
        <f t="shared" ref="F6:N6" si="10">+IFERROR(F5/E5-1,"nm")</f>
        <v>0.08369098712</v>
      </c>
      <c r="G6" s="52">
        <f t="shared" si="10"/>
        <v>0.03078307831</v>
      </c>
      <c r="H6" s="52">
        <f t="shared" si="10"/>
        <v>0.3389800908</v>
      </c>
      <c r="I6" s="52">
        <f t="shared" si="10"/>
        <v>-0.01226033651</v>
      </c>
      <c r="J6" s="52">
        <f t="shared" si="10"/>
        <v>-0.0141184211</v>
      </c>
      <c r="K6" s="52">
        <f t="shared" si="10"/>
        <v>0.06386825857</v>
      </c>
      <c r="L6" s="52">
        <f t="shared" si="10"/>
        <v>0.06386825857</v>
      </c>
      <c r="M6" s="52">
        <f t="shared" si="10"/>
        <v>0.06386825857</v>
      </c>
      <c r="N6" s="52">
        <f t="shared" si="10"/>
        <v>0.06386825857</v>
      </c>
      <c r="O6" s="67"/>
    </row>
    <row r="7">
      <c r="A7" s="65" t="s">
        <v>176</v>
      </c>
      <c r="B7" s="52">
        <f t="shared" ref="B7:N7" si="11">+IFERROR(B5/B$3,"nm")</f>
        <v>0.0689846737</v>
      </c>
      <c r="C7" s="52">
        <f t="shared" si="11"/>
        <v>0.07335680751</v>
      </c>
      <c r="D7" s="52">
        <f t="shared" si="11"/>
        <v>0.08745269287</v>
      </c>
      <c r="E7" s="52">
        <f t="shared" si="11"/>
        <v>0.1408357832</v>
      </c>
      <c r="F7" s="52">
        <f t="shared" si="11"/>
        <v>0.1420098678</v>
      </c>
      <c r="G7" s="52">
        <f t="shared" si="11"/>
        <v>0.1517826375</v>
      </c>
      <c r="H7" s="52">
        <f t="shared" si="11"/>
        <v>0.1721451345</v>
      </c>
      <c r="I7" s="52">
        <f t="shared" si="11"/>
        <v>0.162128024</v>
      </c>
      <c r="J7" s="52">
        <f t="shared" si="11"/>
        <v>0.1502432571</v>
      </c>
      <c r="K7" s="52">
        <f t="shared" si="11"/>
        <v>0.1502432571</v>
      </c>
      <c r="L7" s="52">
        <f t="shared" si="11"/>
        <v>0.1502432571</v>
      </c>
      <c r="M7" s="52">
        <f t="shared" si="11"/>
        <v>0.1502432571</v>
      </c>
      <c r="N7" s="52">
        <f t="shared" si="11"/>
        <v>0.1502432571</v>
      </c>
      <c r="O7" s="66" t="s">
        <v>174</v>
      </c>
    </row>
    <row r="8">
      <c r="A8" s="28" t="s">
        <v>177</v>
      </c>
      <c r="B8" s="23">
        <f>Historicals!B180</f>
        <v>606</v>
      </c>
      <c r="C8" s="23">
        <f>Historicals!C180</f>
        <v>649</v>
      </c>
      <c r="D8" s="23">
        <f>Historicals!D180</f>
        <v>706</v>
      </c>
      <c r="E8" s="23">
        <f>Historicals!E180</f>
        <v>747</v>
      </c>
      <c r="F8" s="23">
        <f t="shared" ref="F8:I8" si="12">F39+F70+F101+F132+F151+F186+F205</f>
        <v>705</v>
      </c>
      <c r="G8" s="23">
        <f t="shared" si="12"/>
        <v>721</v>
      </c>
      <c r="H8" s="23">
        <f t="shared" si="12"/>
        <v>744</v>
      </c>
      <c r="I8" s="23">
        <f t="shared" si="12"/>
        <v>717</v>
      </c>
      <c r="J8" s="23">
        <f t="shared" ref="J8:N8" si="13">J11*J18</f>
        <v>937.1911121</v>
      </c>
      <c r="K8" s="23">
        <f t="shared" si="13"/>
        <v>997.0478764</v>
      </c>
      <c r="L8" s="23">
        <f t="shared" si="13"/>
        <v>1060.727588</v>
      </c>
      <c r="M8" s="23">
        <f t="shared" si="13"/>
        <v>1128.474412</v>
      </c>
      <c r="N8" s="23">
        <f t="shared" si="13"/>
        <v>1200.548107</v>
      </c>
      <c r="O8" s="64" t="s">
        <v>178</v>
      </c>
    </row>
    <row r="9">
      <c r="A9" s="65" t="s">
        <v>138</v>
      </c>
      <c r="B9" s="52" t="str">
        <f t="shared" ref="B9:N9" si="14">+IFERROR(B8/A8-1,"nm")</f>
        <v>nm</v>
      </c>
      <c r="C9" s="52">
        <f t="shared" si="14"/>
        <v>0.07095709571</v>
      </c>
      <c r="D9" s="52">
        <f t="shared" si="14"/>
        <v>0.08782742681</v>
      </c>
      <c r="E9" s="52">
        <f t="shared" si="14"/>
        <v>0.05807365439</v>
      </c>
      <c r="F9" s="52">
        <f t="shared" si="14"/>
        <v>-0.0562248996</v>
      </c>
      <c r="G9" s="52">
        <f t="shared" si="14"/>
        <v>0.02269503546</v>
      </c>
      <c r="H9" s="52">
        <f t="shared" si="14"/>
        <v>0.0319001387</v>
      </c>
      <c r="I9" s="52">
        <f t="shared" si="14"/>
        <v>-0.03629032258</v>
      </c>
      <c r="J9" s="52">
        <f t="shared" si="14"/>
        <v>0.3071005748</v>
      </c>
      <c r="K9" s="52">
        <f t="shared" si="14"/>
        <v>0.06386825857</v>
      </c>
      <c r="L9" s="52">
        <f t="shared" si="14"/>
        <v>0.06386825857</v>
      </c>
      <c r="M9" s="52">
        <f t="shared" si="14"/>
        <v>0.06386825857</v>
      </c>
      <c r="N9" s="52">
        <f t="shared" si="14"/>
        <v>0.06386825857</v>
      </c>
      <c r="O9" s="67"/>
    </row>
    <row r="10">
      <c r="A10" s="65" t="s">
        <v>179</v>
      </c>
      <c r="B10" s="52">
        <f t="shared" ref="B10:N10" si="15">+IFERROR(B8/B$3,"nm")</f>
        <v>0.0198032744</v>
      </c>
      <c r="C10" s="52">
        <f t="shared" si="15"/>
        <v>0.02004571287</v>
      </c>
      <c r="D10" s="52">
        <f t="shared" si="15"/>
        <v>0.02055312955</v>
      </c>
      <c r="E10" s="52">
        <f t="shared" si="15"/>
        <v>0.02052366953</v>
      </c>
      <c r="F10" s="52">
        <f t="shared" si="15"/>
        <v>0.01802285451</v>
      </c>
      <c r="G10" s="52">
        <f t="shared" si="15"/>
        <v>0.0191119947</v>
      </c>
      <c r="H10" s="52">
        <f t="shared" si="15"/>
        <v>0.01670483632</v>
      </c>
      <c r="I10" s="52">
        <f t="shared" si="15"/>
        <v>0.01535003211</v>
      </c>
      <c r="J10" s="52">
        <f t="shared" si="15"/>
        <v>0.01885951163</v>
      </c>
      <c r="K10" s="52">
        <f t="shared" si="15"/>
        <v>0.01885951163</v>
      </c>
      <c r="L10" s="52">
        <f t="shared" si="15"/>
        <v>0.01885951163</v>
      </c>
      <c r="M10" s="52">
        <f t="shared" si="15"/>
        <v>0.01885951163</v>
      </c>
      <c r="N10" s="52">
        <f t="shared" si="15"/>
        <v>0.01885951163</v>
      </c>
      <c r="O10" s="67"/>
    </row>
    <row r="11">
      <c r="A11" s="68" t="s">
        <v>180</v>
      </c>
      <c r="B11" s="69">
        <f t="shared" ref="B11:I11" si="16">B8/B18</f>
        <v>0.2012620392</v>
      </c>
      <c r="C11" s="69">
        <f t="shared" si="16"/>
        <v>0.184375</v>
      </c>
      <c r="D11" s="69">
        <f t="shared" si="16"/>
        <v>0.1769867135</v>
      </c>
      <c r="E11" s="69">
        <f t="shared" si="16"/>
        <v>0.167714414</v>
      </c>
      <c r="F11" s="69">
        <f t="shared" si="16"/>
        <v>0.148608769</v>
      </c>
      <c r="G11" s="69">
        <f t="shared" si="16"/>
        <v>0.1481709823</v>
      </c>
      <c r="H11" s="69">
        <f t="shared" si="16"/>
        <v>0.1517128874</v>
      </c>
      <c r="I11" s="69">
        <f t="shared" si="16"/>
        <v>0.1496556043</v>
      </c>
      <c r="J11" s="69">
        <f>AVERAGE(B11:I11)</f>
        <v>0.1660608012</v>
      </c>
      <c r="K11" s="69">
        <v>0.1660608012070031</v>
      </c>
      <c r="L11" s="69">
        <v>0.1660608012070031</v>
      </c>
      <c r="M11" s="69">
        <v>0.1660608012070031</v>
      </c>
      <c r="N11" s="69">
        <v>0.1660608012070031</v>
      </c>
      <c r="O11" s="66" t="s">
        <v>174</v>
      </c>
      <c r="P11" s="70"/>
      <c r="Q11" s="70"/>
      <c r="R11" s="70"/>
      <c r="S11" s="70"/>
      <c r="T11" s="70"/>
      <c r="U11" s="70"/>
      <c r="V11" s="70"/>
      <c r="W11" s="70"/>
      <c r="X11" s="70"/>
      <c r="Y11" s="70"/>
      <c r="Z11" s="70"/>
    </row>
    <row r="12">
      <c r="A12" s="28" t="s">
        <v>181</v>
      </c>
      <c r="B12" s="23">
        <f>Historicals!B147</f>
        <v>4233</v>
      </c>
      <c r="C12" s="23">
        <f>Historicals!C147</f>
        <v>4642</v>
      </c>
      <c r="D12" s="23">
        <f>Historicals!D147</f>
        <v>4945</v>
      </c>
      <c r="E12" s="23">
        <f>Historicals!E147</f>
        <v>4379</v>
      </c>
      <c r="F12" s="23">
        <f t="shared" ref="F12:H12" si="17">F43+F74+F105+F136+F155+F190+F209</f>
        <v>4850</v>
      </c>
      <c r="G12" s="23">
        <f t="shared" si="17"/>
        <v>2976</v>
      </c>
      <c r="H12" s="23">
        <f t="shared" si="17"/>
        <v>6923</v>
      </c>
      <c r="I12" s="23">
        <f>I43+I74+I105+I136+I155+I209+I190</f>
        <v>6856</v>
      </c>
      <c r="J12" s="23">
        <f t="shared" ref="J12:N12" si="18">J3*J14</f>
        <v>6528.890085</v>
      </c>
      <c r="K12" s="23">
        <f t="shared" si="18"/>
        <v>6945.878925</v>
      </c>
      <c r="L12" s="23">
        <f t="shared" si="18"/>
        <v>7389.500116</v>
      </c>
      <c r="M12" s="23">
        <f t="shared" si="18"/>
        <v>7861.45462</v>
      </c>
      <c r="N12" s="23">
        <f t="shared" si="18"/>
        <v>8363.552037</v>
      </c>
      <c r="O12" s="64" t="s">
        <v>178</v>
      </c>
    </row>
    <row r="13">
      <c r="A13" s="65" t="s">
        <v>138</v>
      </c>
      <c r="B13" s="52" t="str">
        <f t="shared" ref="B13:N13" si="19">+IFERROR(B12/A12-1,"nm")</f>
        <v>nm</v>
      </c>
      <c r="C13" s="52">
        <f t="shared" si="19"/>
        <v>0.09662178124</v>
      </c>
      <c r="D13" s="52">
        <f t="shared" si="19"/>
        <v>0.06527358897</v>
      </c>
      <c r="E13" s="52">
        <f t="shared" si="19"/>
        <v>-0.1144590495</v>
      </c>
      <c r="F13" s="52">
        <f t="shared" si="19"/>
        <v>0.1075588034</v>
      </c>
      <c r="G13" s="52">
        <f t="shared" si="19"/>
        <v>-0.3863917526</v>
      </c>
      <c r="H13" s="52">
        <f t="shared" si="19"/>
        <v>1.326276882</v>
      </c>
      <c r="I13" s="52">
        <f t="shared" si="19"/>
        <v>-0.00967788531</v>
      </c>
      <c r="J13" s="52">
        <f t="shared" si="19"/>
        <v>-0.04771148121</v>
      </c>
      <c r="K13" s="52">
        <f t="shared" si="19"/>
        <v>0.06386825857</v>
      </c>
      <c r="L13" s="52">
        <f t="shared" si="19"/>
        <v>0.06386825857</v>
      </c>
      <c r="M13" s="52">
        <f t="shared" si="19"/>
        <v>0.06386825857</v>
      </c>
      <c r="N13" s="52">
        <f t="shared" si="19"/>
        <v>0.06386825857</v>
      </c>
      <c r="O13" s="67"/>
    </row>
    <row r="14">
      <c r="A14" s="65" t="s">
        <v>176</v>
      </c>
      <c r="B14" s="52">
        <f t="shared" ref="B14:I14" si="20">+IFERROR(B12/B$3,"nm")</f>
        <v>0.1383288128</v>
      </c>
      <c r="C14" s="52">
        <f t="shared" si="20"/>
        <v>0.1433778107</v>
      </c>
      <c r="D14" s="52">
        <f t="shared" si="20"/>
        <v>0.1439592431</v>
      </c>
      <c r="E14" s="52">
        <f t="shared" si="20"/>
        <v>0.1203121136</v>
      </c>
      <c r="F14" s="52">
        <f t="shared" si="20"/>
        <v>0.1239870133</v>
      </c>
      <c r="G14" s="52">
        <f t="shared" si="20"/>
        <v>0.07888667992</v>
      </c>
      <c r="H14" s="52">
        <f t="shared" si="20"/>
        <v>0.1554402982</v>
      </c>
      <c r="I14" s="52">
        <f t="shared" si="20"/>
        <v>0.1467779919</v>
      </c>
      <c r="J14" s="52">
        <f>AVERAGE(B14:I14)</f>
        <v>0.1313837454</v>
      </c>
      <c r="K14" s="52">
        <v>0.13138374543825593</v>
      </c>
      <c r="L14" s="52">
        <v>0.13138374543825593</v>
      </c>
      <c r="M14" s="52">
        <v>0.13138374543825593</v>
      </c>
      <c r="N14" s="52">
        <v>0.13138374543825593</v>
      </c>
      <c r="O14" s="66" t="s">
        <v>174</v>
      </c>
    </row>
    <row r="15">
      <c r="A15" s="28" t="s">
        <v>182</v>
      </c>
      <c r="B15" s="28">
        <f>Historicals!B169</f>
        <v>963</v>
      </c>
      <c r="C15" s="28">
        <f>Historicals!C169</f>
        <v>1143</v>
      </c>
      <c r="D15" s="28">
        <f>Historicals!D169</f>
        <v>1105</v>
      </c>
      <c r="E15" s="28">
        <f>Historicals!E169</f>
        <v>1028</v>
      </c>
      <c r="F15" s="28">
        <f t="shared" ref="F15:I15" si="21">F46+F77+F108+F139+F158+F193+F212</f>
        <v>1119</v>
      </c>
      <c r="G15" s="28">
        <f t="shared" si="21"/>
        <v>1086</v>
      </c>
      <c r="H15" s="28">
        <f t="shared" si="21"/>
        <v>695</v>
      </c>
      <c r="I15" s="28">
        <f t="shared" si="21"/>
        <v>758</v>
      </c>
      <c r="J15" s="28">
        <f t="shared" ref="J15:N15" si="22">J17*J3</f>
        <v>1344.281849</v>
      </c>
      <c r="K15" s="28">
        <f t="shared" si="22"/>
        <v>1430.13879</v>
      </c>
      <c r="L15" s="28">
        <f t="shared" si="22"/>
        <v>1521.479264</v>
      </c>
      <c r="M15" s="28">
        <f t="shared" si="22"/>
        <v>1618.653495</v>
      </c>
      <c r="N15" s="28">
        <f t="shared" si="22"/>
        <v>1722.034075</v>
      </c>
      <c r="O15" s="64" t="s">
        <v>178</v>
      </c>
      <c r="P15" s="71"/>
      <c r="Q15" s="71"/>
      <c r="R15" s="71"/>
      <c r="S15" s="71"/>
      <c r="T15" s="71"/>
      <c r="U15" s="71"/>
      <c r="V15" s="71"/>
      <c r="W15" s="71"/>
      <c r="X15" s="71"/>
      <c r="Y15" s="71"/>
      <c r="Z15" s="71"/>
    </row>
    <row r="16">
      <c r="A16" s="65" t="s">
        <v>138</v>
      </c>
      <c r="B16" s="52" t="str">
        <f t="shared" ref="B16:N16" si="23">+IFERROR(B15/A15-1,"nm")</f>
        <v>nm</v>
      </c>
      <c r="C16" s="52">
        <f t="shared" si="23"/>
        <v>0.1869158879</v>
      </c>
      <c r="D16" s="52">
        <f t="shared" si="23"/>
        <v>-0.03324584427</v>
      </c>
      <c r="E16" s="52">
        <f t="shared" si="23"/>
        <v>-0.06968325792</v>
      </c>
      <c r="F16" s="52">
        <f t="shared" si="23"/>
        <v>0.08852140078</v>
      </c>
      <c r="G16" s="52">
        <f t="shared" si="23"/>
        <v>-0.02949061662</v>
      </c>
      <c r="H16" s="52">
        <f t="shared" si="23"/>
        <v>-0.3600368324</v>
      </c>
      <c r="I16" s="52">
        <f t="shared" si="23"/>
        <v>0.09064748201</v>
      </c>
      <c r="J16" s="52">
        <f t="shared" si="23"/>
        <v>0.7734589043</v>
      </c>
      <c r="K16" s="52">
        <f t="shared" si="23"/>
        <v>0.06386825857</v>
      </c>
      <c r="L16" s="52">
        <f t="shared" si="23"/>
        <v>0.06386825857</v>
      </c>
      <c r="M16" s="52">
        <f t="shared" si="23"/>
        <v>0.06386825857</v>
      </c>
      <c r="N16" s="52">
        <f t="shared" si="23"/>
        <v>0.06386825857</v>
      </c>
      <c r="O16" s="67"/>
    </row>
    <row r="17">
      <c r="A17" s="65" t="s">
        <v>179</v>
      </c>
      <c r="B17" s="52">
        <f t="shared" ref="B17:I17" si="24">+IFERROR(B15/B$3,"nm")</f>
        <v>0.03146955982</v>
      </c>
      <c r="C17" s="52">
        <f t="shared" si="24"/>
        <v>0.03530392884</v>
      </c>
      <c r="D17" s="52">
        <f t="shared" si="24"/>
        <v>0.03216885007</v>
      </c>
      <c r="E17" s="52">
        <f t="shared" si="24"/>
        <v>0.02824408605</v>
      </c>
      <c r="F17" s="52">
        <f t="shared" si="24"/>
        <v>0.02860648823</v>
      </c>
      <c r="G17" s="52">
        <f t="shared" si="24"/>
        <v>0.02878727634</v>
      </c>
      <c r="H17" s="52">
        <f t="shared" si="24"/>
        <v>0.01560465221</v>
      </c>
      <c r="I17" s="52">
        <f t="shared" si="24"/>
        <v>0.01622778848</v>
      </c>
      <c r="J17" s="52">
        <f>AVERAGE(B17:I17)</f>
        <v>0.02705157875</v>
      </c>
      <c r="K17" s="52">
        <v>0.027051578754638855</v>
      </c>
      <c r="L17" s="52">
        <v>0.027051578754638855</v>
      </c>
      <c r="M17" s="52">
        <v>0.027051578754638855</v>
      </c>
      <c r="N17" s="52">
        <v>0.027051578754638855</v>
      </c>
      <c r="O17" s="66" t="s">
        <v>174</v>
      </c>
    </row>
    <row r="18">
      <c r="A18" s="72" t="s">
        <v>183</v>
      </c>
      <c r="B18" s="23">
        <f>Historicals!B158</f>
        <v>3011</v>
      </c>
      <c r="C18" s="23">
        <f>Historicals!C158</f>
        <v>3520</v>
      </c>
      <c r="D18" s="23">
        <f>Historicals!D158</f>
        <v>3989</v>
      </c>
      <c r="E18" s="23">
        <f>Historicals!E158</f>
        <v>4454</v>
      </c>
      <c r="F18" s="23">
        <f t="shared" ref="F18:I18" si="25">F49+F80+F111+F142+F161+F196+F215</f>
        <v>4744</v>
      </c>
      <c r="G18" s="23">
        <f t="shared" si="25"/>
        <v>4866</v>
      </c>
      <c r="H18" s="23">
        <f t="shared" si="25"/>
        <v>4904</v>
      </c>
      <c r="I18" s="23">
        <f t="shared" si="25"/>
        <v>4791</v>
      </c>
      <c r="J18" s="23">
        <f t="shared" ref="J18:N18" si="26">J20*J3</f>
        <v>5643.662474</v>
      </c>
      <c r="K18" s="23">
        <f t="shared" si="26"/>
        <v>6004.113368</v>
      </c>
      <c r="L18" s="23">
        <f t="shared" si="26"/>
        <v>6387.585633</v>
      </c>
      <c r="M18" s="23">
        <f t="shared" si="26"/>
        <v>6795.549604</v>
      </c>
      <c r="N18" s="23">
        <f t="shared" si="26"/>
        <v>7229.569523</v>
      </c>
      <c r="O18" s="64" t="s">
        <v>178</v>
      </c>
    </row>
    <row r="19">
      <c r="A19" s="65" t="s">
        <v>138</v>
      </c>
      <c r="B19" s="73" t="str">
        <f t="shared" ref="B19:N19" si="27">+IFERROR(B18/A18-1,"nm")</f>
        <v>nm</v>
      </c>
      <c r="C19" s="73">
        <f t="shared" si="27"/>
        <v>0.1690468283</v>
      </c>
      <c r="D19" s="73">
        <f t="shared" si="27"/>
        <v>0.1332386364</v>
      </c>
      <c r="E19" s="73">
        <f t="shared" si="27"/>
        <v>0.1165705691</v>
      </c>
      <c r="F19" s="73">
        <f t="shared" si="27"/>
        <v>0.06511001347</v>
      </c>
      <c r="G19" s="73">
        <f t="shared" si="27"/>
        <v>0.02571669477</v>
      </c>
      <c r="H19" s="73">
        <f t="shared" si="27"/>
        <v>0.007809288944</v>
      </c>
      <c r="I19" s="73">
        <f t="shared" si="27"/>
        <v>-0.02304241436</v>
      </c>
      <c r="J19" s="73">
        <f t="shared" si="27"/>
        <v>0.1779717123</v>
      </c>
      <c r="K19" s="73">
        <f t="shared" si="27"/>
        <v>0.06386825857</v>
      </c>
      <c r="L19" s="73">
        <f t="shared" si="27"/>
        <v>0.06386825857</v>
      </c>
      <c r="M19" s="73">
        <f t="shared" si="27"/>
        <v>0.06386825857</v>
      </c>
      <c r="N19" s="73">
        <f t="shared" si="27"/>
        <v>0.06386825857</v>
      </c>
      <c r="O19" s="67"/>
    </row>
    <row r="20">
      <c r="A20" s="65" t="s">
        <v>179</v>
      </c>
      <c r="B20" s="73">
        <f t="shared" ref="B20:I20" si="28">+IFERROR(B18/B$3,"nm")</f>
        <v>0.09839547727</v>
      </c>
      <c r="C20" s="73">
        <f t="shared" si="28"/>
        <v>0.1087225105</v>
      </c>
      <c r="D20" s="73">
        <f t="shared" si="28"/>
        <v>0.1161280932</v>
      </c>
      <c r="E20" s="73">
        <f t="shared" si="28"/>
        <v>0.122372723</v>
      </c>
      <c r="F20" s="73">
        <f t="shared" si="28"/>
        <v>0.1212771941</v>
      </c>
      <c r="G20" s="73">
        <f t="shared" si="28"/>
        <v>0.1289860835</v>
      </c>
      <c r="H20" s="73">
        <f t="shared" si="28"/>
        <v>0.1101082222</v>
      </c>
      <c r="I20" s="73">
        <f t="shared" si="28"/>
        <v>0.102569043</v>
      </c>
      <c r="J20" s="73">
        <f>AVERAGE(B20:I20)</f>
        <v>0.1135699183</v>
      </c>
      <c r="K20" s="73">
        <v>0.11356991834256071</v>
      </c>
      <c r="L20" s="73">
        <v>0.11356991834256071</v>
      </c>
      <c r="M20" s="73">
        <v>0.11356991834256071</v>
      </c>
      <c r="N20" s="73">
        <v>0.11356991834256071</v>
      </c>
      <c r="O20" s="66" t="s">
        <v>174</v>
      </c>
    </row>
    <row r="21">
      <c r="A21" s="74" t="str">
        <f>+Historicals!A112</f>
        <v>North America</v>
      </c>
      <c r="B21" s="74"/>
      <c r="C21" s="74"/>
      <c r="D21" s="74"/>
      <c r="E21" s="74"/>
      <c r="F21" s="74"/>
      <c r="G21" s="74"/>
      <c r="H21" s="74"/>
      <c r="I21" s="74"/>
      <c r="K21" s="62"/>
      <c r="L21" s="62"/>
      <c r="M21" s="62"/>
      <c r="N21" s="62"/>
    </row>
    <row r="22" ht="15.75" customHeight="1">
      <c r="A22" s="28" t="s">
        <v>184</v>
      </c>
      <c r="B22" s="28">
        <f>B24+B28+B32</f>
        <v>13740</v>
      </c>
      <c r="C22" s="28">
        <f>C24+C28+C36</f>
        <v>17941</v>
      </c>
      <c r="D22" s="28">
        <f t="shared" ref="D22:N22" si="29">D24+D28+D32</f>
        <v>15216</v>
      </c>
      <c r="E22" s="28">
        <f t="shared" si="29"/>
        <v>14855</v>
      </c>
      <c r="F22" s="28">
        <f t="shared" si="29"/>
        <v>15902</v>
      </c>
      <c r="G22" s="28">
        <f t="shared" si="29"/>
        <v>14484</v>
      </c>
      <c r="H22" s="28">
        <f t="shared" si="29"/>
        <v>17179</v>
      </c>
      <c r="I22" s="28">
        <f t="shared" si="29"/>
        <v>18353</v>
      </c>
      <c r="J22" s="28">
        <f t="shared" si="29"/>
        <v>19224.03086</v>
      </c>
      <c r="K22" s="28">
        <f t="shared" si="29"/>
        <v>20142.35725</v>
      </c>
      <c r="L22" s="28">
        <f t="shared" si="29"/>
        <v>21110.49572</v>
      </c>
      <c r="M22" s="28">
        <f t="shared" si="29"/>
        <v>22131.10363</v>
      </c>
      <c r="N22" s="28">
        <f t="shared" si="29"/>
        <v>23206.98705</v>
      </c>
    </row>
    <row r="23" ht="15.75" customHeight="1">
      <c r="A23" s="65" t="s">
        <v>138</v>
      </c>
      <c r="B23" s="75" t="str">
        <f>+IFERROR(B3/A3-1,"nm")</f>
        <v>nm</v>
      </c>
      <c r="C23" s="75">
        <f t="shared" ref="C23:N23" si="30">+IFERROR(C22/B22-1,"nm")</f>
        <v>0.3057496361</v>
      </c>
      <c r="D23" s="75">
        <f t="shared" si="30"/>
        <v>-0.1518867399</v>
      </c>
      <c r="E23" s="75">
        <f t="shared" si="30"/>
        <v>-0.02372502629</v>
      </c>
      <c r="F23" s="75">
        <f t="shared" si="30"/>
        <v>0.07048131942</v>
      </c>
      <c r="G23" s="75">
        <f t="shared" si="30"/>
        <v>-0.08917117344</v>
      </c>
      <c r="H23" s="75">
        <f t="shared" si="30"/>
        <v>0.1860673847</v>
      </c>
      <c r="I23" s="75">
        <f t="shared" si="30"/>
        <v>0.06833925141</v>
      </c>
      <c r="J23" s="75">
        <f t="shared" si="30"/>
        <v>0.04745986281</v>
      </c>
      <c r="K23" s="75">
        <f t="shared" si="30"/>
        <v>0.04776971062</v>
      </c>
      <c r="L23" s="75">
        <f t="shared" si="30"/>
        <v>0.04806480448</v>
      </c>
      <c r="M23" s="75">
        <f t="shared" si="30"/>
        <v>0.04834599445</v>
      </c>
      <c r="N23" s="75">
        <f t="shared" si="30"/>
        <v>0.04861408822</v>
      </c>
    </row>
    <row r="24" ht="15.75" customHeight="1">
      <c r="A24" s="76" t="s">
        <v>145</v>
      </c>
      <c r="B24" s="23">
        <f>+Historicals!B113</f>
        <v>8506</v>
      </c>
      <c r="C24" s="23">
        <f>+Historicals!C113</f>
        <v>9299</v>
      </c>
      <c r="D24" s="23">
        <f>+Historicals!D113</f>
        <v>9684</v>
      </c>
      <c r="E24" s="23">
        <f>+Historicals!E113</f>
        <v>9322</v>
      </c>
      <c r="F24" s="23">
        <f>+Historicals!F113</f>
        <v>10045</v>
      </c>
      <c r="G24" s="23">
        <f>+Historicals!G113</f>
        <v>9329</v>
      </c>
      <c r="H24" s="23">
        <f>+Historicals!H113</f>
        <v>11644</v>
      </c>
      <c r="I24" s="23">
        <f>+Historicals!I113</f>
        <v>12228</v>
      </c>
      <c r="J24" s="23">
        <f t="shared" ref="J24:N24" si="31">I24*(1+J25)</f>
        <v>12929.94676</v>
      </c>
      <c r="K24" s="23">
        <f t="shared" si="31"/>
        <v>13672.18869</v>
      </c>
      <c r="L24" s="23">
        <f t="shared" si="31"/>
        <v>14457.03892</v>
      </c>
      <c r="M24" s="23">
        <f t="shared" si="31"/>
        <v>15286.94337</v>
      </c>
      <c r="N24" s="23">
        <f t="shared" si="31"/>
        <v>16164.48838</v>
      </c>
    </row>
    <row r="25" ht="15.75" customHeight="1">
      <c r="A25" s="65" t="s">
        <v>138</v>
      </c>
      <c r="B25" s="75" t="str">
        <f t="shared" ref="B25:I25" si="32">+IFERROR(B24/A24-1,"nm")</f>
        <v>nm</v>
      </c>
      <c r="C25" s="75">
        <f t="shared" si="32"/>
        <v>0.09322830943</v>
      </c>
      <c r="D25" s="75">
        <f t="shared" si="32"/>
        <v>0.04140230132</v>
      </c>
      <c r="E25" s="75">
        <f t="shared" si="32"/>
        <v>-0.03738124742</v>
      </c>
      <c r="F25" s="75">
        <f t="shared" si="32"/>
        <v>0.07755846385</v>
      </c>
      <c r="G25" s="75">
        <f t="shared" si="32"/>
        <v>-0.0712792434</v>
      </c>
      <c r="H25" s="75">
        <f t="shared" si="32"/>
        <v>0.2481509272</v>
      </c>
      <c r="I25" s="75">
        <f t="shared" si="32"/>
        <v>0.05015458605</v>
      </c>
      <c r="J25" s="75">
        <f t="shared" ref="J25:J26" si="33">AVERAGE(C25:I25)</f>
        <v>0.05740487101</v>
      </c>
      <c r="K25" s="75">
        <v>0.05740487100661857</v>
      </c>
      <c r="L25" s="75">
        <v>0.05740487100661857</v>
      </c>
      <c r="M25" s="75">
        <v>0.05740487100661857</v>
      </c>
      <c r="N25" s="75">
        <v>0.05740487100661857</v>
      </c>
    </row>
    <row r="26" ht="15.75" customHeight="1">
      <c r="A26" s="65" t="s">
        <v>185</v>
      </c>
      <c r="B26" s="75" t="str">
        <f>+Historicals!B185</f>
        <v/>
      </c>
      <c r="C26" s="75">
        <f>+Historicals!C185</f>
        <v>0.09322830943</v>
      </c>
      <c r="D26" s="75">
        <f>+Historicals!D185</f>
        <v>0.04140230132</v>
      </c>
      <c r="E26" s="75">
        <f>+Historicals!E185</f>
        <v>-0.03738124742</v>
      </c>
      <c r="F26" s="75">
        <f>+Historicals!F185</f>
        <v>0.07755846385</v>
      </c>
      <c r="G26" s="75">
        <f>+Historicals!G185</f>
        <v>-0.0712792434</v>
      </c>
      <c r="H26" s="75">
        <f>+Historicals!H185</f>
        <v>0.2481509272</v>
      </c>
      <c r="I26" s="75">
        <f>+Historicals!I185</f>
        <v>0.05</v>
      </c>
      <c r="J26" s="75">
        <f t="shared" si="33"/>
        <v>0.05738278728</v>
      </c>
      <c r="K26" s="75">
        <v>0.05738278728477534</v>
      </c>
      <c r="L26" s="75">
        <v>0.05738278728477534</v>
      </c>
      <c r="M26" s="75">
        <v>0.05738278728477534</v>
      </c>
      <c r="N26" s="75">
        <v>0.05738278728477534</v>
      </c>
    </row>
    <row r="27" ht="15.75" customHeight="1">
      <c r="A27" s="65" t="s">
        <v>186</v>
      </c>
      <c r="B27" s="75" t="str">
        <f t="shared" ref="B27:I27" si="34">+IFERROR(B25-B26,"nm")</f>
        <v>nm</v>
      </c>
      <c r="C27" s="75">
        <f t="shared" si="34"/>
        <v>0</v>
      </c>
      <c r="D27" s="75">
        <f t="shared" si="34"/>
        <v>0</v>
      </c>
      <c r="E27" s="75">
        <f t="shared" si="34"/>
        <v>0</v>
      </c>
      <c r="F27" s="75">
        <f t="shared" si="34"/>
        <v>0</v>
      </c>
      <c r="G27" s="75">
        <f t="shared" si="34"/>
        <v>0</v>
      </c>
      <c r="H27" s="75">
        <f t="shared" si="34"/>
        <v>0</v>
      </c>
      <c r="I27" s="75">
        <f t="shared" si="34"/>
        <v>0.0001545860529</v>
      </c>
      <c r="J27" s="77">
        <v>0.0</v>
      </c>
      <c r="K27" s="77">
        <v>0.0</v>
      </c>
      <c r="L27" s="77">
        <v>0.0</v>
      </c>
      <c r="M27" s="77">
        <v>0.0</v>
      </c>
      <c r="N27" s="77">
        <v>0.0</v>
      </c>
    </row>
    <row r="28" ht="15.75" customHeight="1">
      <c r="A28" s="76" t="s">
        <v>146</v>
      </c>
      <c r="B28" s="23">
        <f>+Historicals!B114</f>
        <v>4410</v>
      </c>
      <c r="C28" s="23">
        <f>+Historicals!C114</f>
        <v>4746</v>
      </c>
      <c r="D28" s="23">
        <f>+Historicals!D114</f>
        <v>4886</v>
      </c>
      <c r="E28" s="23">
        <f>+Historicals!E114</f>
        <v>4938</v>
      </c>
      <c r="F28" s="23">
        <f>+Historicals!F114</f>
        <v>5260</v>
      </c>
      <c r="G28" s="23">
        <f>+Historicals!G114</f>
        <v>4639</v>
      </c>
      <c r="H28" s="23">
        <f>+Historicals!H114</f>
        <v>5028</v>
      </c>
      <c r="I28" s="23">
        <f>+Historicals!I114</f>
        <v>5492</v>
      </c>
      <c r="J28" s="23">
        <f t="shared" ref="J28:N28" si="35">I28*(1+J29)</f>
        <v>5679.996571</v>
      </c>
      <c r="K28" s="23">
        <f t="shared" si="35"/>
        <v>5874.42845</v>
      </c>
      <c r="L28" s="23">
        <f t="shared" si="35"/>
        <v>6075.515923</v>
      </c>
      <c r="M28" s="23">
        <f t="shared" si="35"/>
        <v>6283.486819</v>
      </c>
      <c r="N28" s="23">
        <f t="shared" si="35"/>
        <v>6498.576764</v>
      </c>
    </row>
    <row r="29" ht="15.75" customHeight="1">
      <c r="A29" s="65" t="s">
        <v>138</v>
      </c>
      <c r="B29" s="75" t="str">
        <f t="shared" ref="B29:I29" si="36">+IFERROR(B28/A28-1,"nm")</f>
        <v>nm</v>
      </c>
      <c r="C29" s="75">
        <f t="shared" si="36"/>
        <v>0.07619047619</v>
      </c>
      <c r="D29" s="75">
        <f t="shared" si="36"/>
        <v>0.02949852507</v>
      </c>
      <c r="E29" s="75">
        <f t="shared" si="36"/>
        <v>0.01064265248</v>
      </c>
      <c r="F29" s="75">
        <f t="shared" si="36"/>
        <v>0.06520858647</v>
      </c>
      <c r="G29" s="75">
        <f t="shared" si="36"/>
        <v>-0.1180608365</v>
      </c>
      <c r="H29" s="75">
        <f t="shared" si="36"/>
        <v>0.08385427894</v>
      </c>
      <c r="I29" s="75">
        <f t="shared" si="36"/>
        <v>0.092283214</v>
      </c>
      <c r="J29" s="75">
        <f t="shared" ref="J29:J30" si="37">AVERAGE(C29:I29)</f>
        <v>0.03423098524</v>
      </c>
      <c r="K29" s="75">
        <v>0.034230985236008316</v>
      </c>
      <c r="L29" s="75">
        <v>0.034230985236008316</v>
      </c>
      <c r="M29" s="75">
        <v>0.034230985236008316</v>
      </c>
      <c r="N29" s="75">
        <v>0.034230985236008316</v>
      </c>
    </row>
    <row r="30" ht="15.75" customHeight="1">
      <c r="A30" s="65" t="s">
        <v>185</v>
      </c>
      <c r="B30" s="75" t="str">
        <f>+Historicals!B189</f>
        <v/>
      </c>
      <c r="C30" s="75">
        <f>+Historicals!C189</f>
        <v>-0.3133169935</v>
      </c>
      <c r="D30" s="75">
        <f>+Historicals!D189</f>
        <v>0.02954590522</v>
      </c>
      <c r="E30" s="75">
        <f>+Historicals!E189</f>
        <v>0.1315485362</v>
      </c>
      <c r="F30" s="75">
        <f>+Historicals!F189</f>
        <v>0.07114893617</v>
      </c>
      <c r="G30" s="75">
        <f>+Historicals!G189</f>
        <v>-0.06372159542</v>
      </c>
      <c r="H30" s="75">
        <f>+Historicals!H189</f>
        <v>0.1829599457</v>
      </c>
      <c r="I30" s="75">
        <f>+Historicals!I189</f>
        <v>0.09</v>
      </c>
      <c r="J30" s="77">
        <f t="shared" si="37"/>
        <v>0.01830924777</v>
      </c>
      <c r="K30" s="77">
        <v>0.018309247770920977</v>
      </c>
      <c r="L30" s="77">
        <v>0.018309247770920977</v>
      </c>
      <c r="M30" s="77">
        <v>0.018309247770920977</v>
      </c>
      <c r="N30" s="77">
        <v>0.018309247770920977</v>
      </c>
    </row>
    <row r="31" ht="15.75" customHeight="1">
      <c r="A31" s="65" t="s">
        <v>186</v>
      </c>
      <c r="B31" s="75" t="str">
        <f t="shared" ref="B31:I31" si="38">+IFERROR(B29-B30,"nm")</f>
        <v>nm</v>
      </c>
      <c r="C31" s="75">
        <f t="shared" si="38"/>
        <v>0.3895074697</v>
      </c>
      <c r="D31" s="75">
        <f t="shared" si="38"/>
        <v>-0.0000473801414</v>
      </c>
      <c r="E31" s="75">
        <f t="shared" si="38"/>
        <v>-0.1209058837</v>
      </c>
      <c r="F31" s="75">
        <f t="shared" si="38"/>
        <v>-0.005940349698</v>
      </c>
      <c r="G31" s="75">
        <f t="shared" si="38"/>
        <v>-0.05433924108</v>
      </c>
      <c r="H31" s="75">
        <f t="shared" si="38"/>
        <v>-0.09910566675</v>
      </c>
      <c r="I31" s="75">
        <f t="shared" si="38"/>
        <v>0.002283214002</v>
      </c>
      <c r="J31" s="77">
        <v>0.0</v>
      </c>
      <c r="K31" s="77">
        <v>0.0</v>
      </c>
      <c r="L31" s="77">
        <v>0.0</v>
      </c>
      <c r="M31" s="77">
        <v>0.0</v>
      </c>
      <c r="N31" s="77">
        <v>0.0</v>
      </c>
    </row>
    <row r="32" ht="15.75" customHeight="1">
      <c r="A32" s="76" t="s">
        <v>147</v>
      </c>
      <c r="B32" s="23">
        <f>+Historicals!B115</f>
        <v>824</v>
      </c>
      <c r="C32" s="23">
        <f>+Historicals!C115</f>
        <v>719</v>
      </c>
      <c r="D32" s="23">
        <f>+Historicals!D115</f>
        <v>646</v>
      </c>
      <c r="E32" s="23">
        <f>+Historicals!E115</f>
        <v>595</v>
      </c>
      <c r="F32" s="23">
        <f>+Historicals!F115</f>
        <v>597</v>
      </c>
      <c r="G32" s="23">
        <f>+Historicals!G115</f>
        <v>516</v>
      </c>
      <c r="H32" s="23">
        <f>+Historicals!H115</f>
        <v>507</v>
      </c>
      <c r="I32" s="23">
        <f>+Historicals!I115</f>
        <v>633</v>
      </c>
      <c r="J32" s="23">
        <f t="shared" ref="J32:N32" si="39">I32*(1+J33)</f>
        <v>614.0875286</v>
      </c>
      <c r="K32" s="23">
        <f t="shared" si="39"/>
        <v>595.740115</v>
      </c>
      <c r="L32" s="23">
        <f t="shared" si="39"/>
        <v>577.9408767</v>
      </c>
      <c r="M32" s="23">
        <f t="shared" si="39"/>
        <v>560.6734355</v>
      </c>
      <c r="N32" s="23">
        <f t="shared" si="39"/>
        <v>543.9219026</v>
      </c>
    </row>
    <row r="33" ht="15.75" customHeight="1">
      <c r="A33" s="65" t="s">
        <v>138</v>
      </c>
      <c r="B33" s="75" t="str">
        <f t="shared" ref="B33:I33" si="40">+IFERROR(B32/A32-1,"nm")</f>
        <v>nm</v>
      </c>
      <c r="C33" s="75">
        <f t="shared" si="40"/>
        <v>-0.1274271845</v>
      </c>
      <c r="D33" s="75">
        <f t="shared" si="40"/>
        <v>-0.1015299026</v>
      </c>
      <c r="E33" s="75">
        <f t="shared" si="40"/>
        <v>-0.07894736842</v>
      </c>
      <c r="F33" s="75">
        <f t="shared" si="40"/>
        <v>0.003361344538</v>
      </c>
      <c r="G33" s="75">
        <f t="shared" si="40"/>
        <v>-0.135678392</v>
      </c>
      <c r="H33" s="75">
        <f t="shared" si="40"/>
        <v>-0.01744186047</v>
      </c>
      <c r="I33" s="75">
        <f t="shared" si="40"/>
        <v>0.2485207101</v>
      </c>
      <c r="J33" s="75">
        <f t="shared" ref="J33:J34" si="41">AVERAGE(C33:I33)</f>
        <v>-0.02987752191</v>
      </c>
      <c r="K33" s="75">
        <v>-0.02987752190822284</v>
      </c>
      <c r="L33" s="75">
        <v>-0.02987752190822284</v>
      </c>
      <c r="M33" s="75">
        <v>-0.02987752190822284</v>
      </c>
      <c r="N33" s="75">
        <v>-0.02987752190822284</v>
      </c>
    </row>
    <row r="34" ht="15.75" customHeight="1">
      <c r="A34" s="65" t="s">
        <v>185</v>
      </c>
      <c r="B34" s="75" t="str">
        <f>+Historicals!B187</f>
        <v/>
      </c>
      <c r="C34" s="75">
        <f>+Historicals!C187</f>
        <v>-0.1274271845</v>
      </c>
      <c r="D34" s="75">
        <f>+Historicals!D187</f>
        <v>-0.1015299026</v>
      </c>
      <c r="E34" s="75">
        <f>+Historicals!E187</f>
        <v>-0.07894736842</v>
      </c>
      <c r="F34" s="75">
        <f>+Historicals!F187</f>
        <v>0.003361344538</v>
      </c>
      <c r="G34" s="75">
        <f>+Historicals!G187</f>
        <v>-0.135678392</v>
      </c>
      <c r="H34" s="75">
        <f>+Historicals!H187</f>
        <v>-0.01744186047</v>
      </c>
      <c r="I34" s="75">
        <f>+Historicals!I187</f>
        <v>0.25</v>
      </c>
      <c r="J34" s="77">
        <f t="shared" si="41"/>
        <v>-0.02966619477</v>
      </c>
      <c r="K34" s="77">
        <v>-0.029666194773818766</v>
      </c>
      <c r="L34" s="77">
        <v>-0.029666194773818766</v>
      </c>
      <c r="M34" s="77">
        <v>-0.029666194773818766</v>
      </c>
      <c r="N34" s="77">
        <v>-0.029666194773818766</v>
      </c>
    </row>
    <row r="35" ht="15.75" customHeight="1">
      <c r="A35" s="65" t="s">
        <v>186</v>
      </c>
      <c r="B35" s="75" t="str">
        <f t="shared" ref="B35:I35" si="42">+IFERROR(B33-B34,"nm")</f>
        <v>nm</v>
      </c>
      <c r="C35" s="75">
        <f t="shared" si="42"/>
        <v>0</v>
      </c>
      <c r="D35" s="75">
        <f t="shared" si="42"/>
        <v>0</v>
      </c>
      <c r="E35" s="75">
        <f t="shared" si="42"/>
        <v>0</v>
      </c>
      <c r="F35" s="75">
        <f t="shared" si="42"/>
        <v>0</v>
      </c>
      <c r="G35" s="75">
        <f t="shared" si="42"/>
        <v>0</v>
      </c>
      <c r="H35" s="75">
        <f t="shared" si="42"/>
        <v>0</v>
      </c>
      <c r="I35" s="75">
        <f t="shared" si="42"/>
        <v>-0.001479289941</v>
      </c>
      <c r="J35" s="77">
        <v>0.0</v>
      </c>
      <c r="K35" s="77">
        <v>0.0</v>
      </c>
      <c r="L35" s="77">
        <v>0.0</v>
      </c>
      <c r="M35" s="77">
        <v>0.0</v>
      </c>
      <c r="N35" s="77">
        <v>0.0</v>
      </c>
    </row>
    <row r="36" ht="15.75" customHeight="1">
      <c r="A36" s="28" t="s">
        <v>175</v>
      </c>
      <c r="B36" s="28">
        <f t="shared" ref="B36:N36" si="43">+B43+B39</f>
        <v>3766</v>
      </c>
      <c r="C36" s="28">
        <f t="shared" si="43"/>
        <v>3896</v>
      </c>
      <c r="D36" s="28">
        <f t="shared" si="43"/>
        <v>4015</v>
      </c>
      <c r="E36" s="28">
        <f t="shared" si="43"/>
        <v>3760</v>
      </c>
      <c r="F36" s="28">
        <f t="shared" si="43"/>
        <v>4074</v>
      </c>
      <c r="G36" s="28">
        <f t="shared" si="43"/>
        <v>3047</v>
      </c>
      <c r="H36" s="28">
        <f t="shared" si="43"/>
        <v>5219</v>
      </c>
      <c r="I36" s="28">
        <f t="shared" si="43"/>
        <v>5238</v>
      </c>
      <c r="J36" s="28">
        <f t="shared" si="43"/>
        <v>4916.833283</v>
      </c>
      <c r="K36" s="28">
        <f t="shared" si="43"/>
        <v>5151.708986</v>
      </c>
      <c r="L36" s="28">
        <f t="shared" si="43"/>
        <v>5399.324872</v>
      </c>
      <c r="M36" s="28">
        <f t="shared" si="43"/>
        <v>5660.360602</v>
      </c>
      <c r="N36" s="28">
        <f t="shared" si="43"/>
        <v>5935.533872</v>
      </c>
    </row>
    <row r="37" ht="15.75" customHeight="1">
      <c r="A37" s="65" t="s">
        <v>138</v>
      </c>
      <c r="B37" s="75" t="str">
        <f t="shared" ref="B37:I37" si="44">+IFERROR(B36/A36-1,"nm")</f>
        <v>nm</v>
      </c>
      <c r="C37" s="75">
        <f t="shared" si="44"/>
        <v>0.03451938396</v>
      </c>
      <c r="D37" s="75">
        <f t="shared" si="44"/>
        <v>0.03054414784</v>
      </c>
      <c r="E37" s="75">
        <f t="shared" si="44"/>
        <v>-0.06351183064</v>
      </c>
      <c r="F37" s="75">
        <f t="shared" si="44"/>
        <v>0.0835106383</v>
      </c>
      <c r="G37" s="75">
        <f t="shared" si="44"/>
        <v>-0.2520864016</v>
      </c>
      <c r="H37" s="75">
        <f t="shared" si="44"/>
        <v>0.7128322941</v>
      </c>
      <c r="I37" s="75">
        <f t="shared" si="44"/>
        <v>0.003640544166</v>
      </c>
      <c r="J37" s="75">
        <f>AVERAGE(C37:I37)</f>
        <v>0.0784926823</v>
      </c>
      <c r="K37" s="75">
        <f t="shared" ref="K37:N37" si="45">+IFERROR(K36/J36-1,"nm")</f>
        <v>0.04776971062</v>
      </c>
      <c r="L37" s="75">
        <f t="shared" si="45"/>
        <v>0.04806480448</v>
      </c>
      <c r="M37" s="75">
        <f t="shared" si="45"/>
        <v>0.04834599445</v>
      </c>
      <c r="N37" s="75">
        <f t="shared" si="45"/>
        <v>0.04861408822</v>
      </c>
    </row>
    <row r="38" ht="15.75" customHeight="1">
      <c r="A38" s="65" t="s">
        <v>176</v>
      </c>
      <c r="B38" s="75">
        <f t="shared" ref="B38:J38" si="46">+IFERROR(B36/B$22,"nm")</f>
        <v>0.2740902475</v>
      </c>
      <c r="C38" s="75">
        <f t="shared" si="46"/>
        <v>0.2171562343</v>
      </c>
      <c r="D38" s="75">
        <f t="shared" si="46"/>
        <v>0.2638669821</v>
      </c>
      <c r="E38" s="75">
        <f t="shared" si="46"/>
        <v>0.2531134298</v>
      </c>
      <c r="F38" s="75">
        <f t="shared" si="46"/>
        <v>0.2561941894</v>
      </c>
      <c r="G38" s="75">
        <f t="shared" si="46"/>
        <v>0.2103700635</v>
      </c>
      <c r="H38" s="75">
        <f t="shared" si="46"/>
        <v>0.3038011526</v>
      </c>
      <c r="I38" s="75">
        <f t="shared" si="46"/>
        <v>0.2854029314</v>
      </c>
      <c r="J38" s="75">
        <f t="shared" si="46"/>
        <v>0.2557649495</v>
      </c>
      <c r="K38" s="75">
        <v>0.25576494953539647</v>
      </c>
      <c r="L38" s="75">
        <v>0.25576494953539647</v>
      </c>
      <c r="M38" s="75">
        <v>0.25576494953539647</v>
      </c>
      <c r="N38" s="75">
        <v>0.25576494953539647</v>
      </c>
    </row>
    <row r="39" ht="15.75" customHeight="1">
      <c r="A39" s="28" t="s">
        <v>177</v>
      </c>
      <c r="B39" s="28">
        <f>+Historicals!B172</f>
        <v>121</v>
      </c>
      <c r="C39" s="28">
        <f>+Historicals!C172</f>
        <v>133</v>
      </c>
      <c r="D39" s="28">
        <f>+Historicals!D172</f>
        <v>140</v>
      </c>
      <c r="E39" s="28">
        <f>+Historicals!E172</f>
        <v>160</v>
      </c>
      <c r="F39" s="28">
        <f>+Historicals!F172</f>
        <v>149</v>
      </c>
      <c r="G39" s="28">
        <f>+Historicals!G172</f>
        <v>148</v>
      </c>
      <c r="H39" s="28">
        <f>+Historicals!H172</f>
        <v>130</v>
      </c>
      <c r="I39" s="28">
        <f>+Historicals!I172</f>
        <v>124</v>
      </c>
      <c r="J39" s="28">
        <f t="shared" ref="J39:N39" si="47">J42*J49</f>
        <v>169.5732715</v>
      </c>
      <c r="K39" s="28">
        <f t="shared" si="47"/>
        <v>177.6737377</v>
      </c>
      <c r="L39" s="28">
        <f t="shared" si="47"/>
        <v>186.2135911</v>
      </c>
      <c r="M39" s="28">
        <f t="shared" si="47"/>
        <v>195.2162724</v>
      </c>
      <c r="N39" s="28">
        <f t="shared" si="47"/>
        <v>204.7065335</v>
      </c>
    </row>
    <row r="40" ht="15.75" customHeight="1">
      <c r="A40" s="65" t="s">
        <v>138</v>
      </c>
      <c r="B40" s="75" t="str">
        <f t="shared" ref="B40:N40" si="48">+IFERROR(B39/A39-1,"nm")</f>
        <v>nm</v>
      </c>
      <c r="C40" s="75">
        <f t="shared" si="48"/>
        <v>0.09917355372</v>
      </c>
      <c r="D40" s="75">
        <f t="shared" si="48"/>
        <v>0.05263157895</v>
      </c>
      <c r="E40" s="75">
        <f t="shared" si="48"/>
        <v>0.1428571429</v>
      </c>
      <c r="F40" s="75">
        <f t="shared" si="48"/>
        <v>-0.06875</v>
      </c>
      <c r="G40" s="75">
        <f t="shared" si="48"/>
        <v>-0.006711409396</v>
      </c>
      <c r="H40" s="75">
        <f t="shared" si="48"/>
        <v>-0.1216216216</v>
      </c>
      <c r="I40" s="75">
        <f t="shared" si="48"/>
        <v>-0.04615384615</v>
      </c>
      <c r="J40" s="75">
        <f t="shared" si="48"/>
        <v>0.3675263834</v>
      </c>
      <c r="K40" s="75">
        <f t="shared" si="48"/>
        <v>0.04776971062</v>
      </c>
      <c r="L40" s="75">
        <f t="shared" si="48"/>
        <v>0.04806480448</v>
      </c>
      <c r="M40" s="75">
        <f t="shared" si="48"/>
        <v>0.04834599445</v>
      </c>
      <c r="N40" s="75">
        <f t="shared" si="48"/>
        <v>0.04861408822</v>
      </c>
    </row>
    <row r="41" ht="15.75" customHeight="1">
      <c r="A41" s="65" t="s">
        <v>179</v>
      </c>
      <c r="B41" s="75">
        <f t="shared" ref="B41:I41" si="49">+IFERROR(B39/B$22,"nm")</f>
        <v>0.008806404658</v>
      </c>
      <c r="C41" s="75">
        <f t="shared" si="49"/>
        <v>0.007413187671</v>
      </c>
      <c r="D41" s="75">
        <f t="shared" si="49"/>
        <v>0.00920084122</v>
      </c>
      <c r="E41" s="75">
        <f t="shared" si="49"/>
        <v>0.01077078425</v>
      </c>
      <c r="F41" s="75">
        <f t="shared" si="49"/>
        <v>0.00936989058</v>
      </c>
      <c r="G41" s="75">
        <f t="shared" si="49"/>
        <v>0.01021817178</v>
      </c>
      <c r="H41" s="75">
        <f t="shared" si="49"/>
        <v>0.007567378776</v>
      </c>
      <c r="I41" s="75">
        <f t="shared" si="49"/>
        <v>0.006756388601</v>
      </c>
      <c r="J41" s="75">
        <f t="shared" ref="J41:J42" si="52">AVERAGE(C41:I41)</f>
        <v>0.008756663267</v>
      </c>
      <c r="K41" s="75">
        <f t="shared" ref="K41:N41" si="50">K39/K22</f>
        <v>0.008820900922</v>
      </c>
      <c r="L41" s="75">
        <f t="shared" si="50"/>
        <v>0.008820900922</v>
      </c>
      <c r="M41" s="75">
        <f t="shared" si="50"/>
        <v>0.008820900922</v>
      </c>
      <c r="N41" s="75">
        <f t="shared" si="50"/>
        <v>0.008820900922</v>
      </c>
    </row>
    <row r="42" ht="15.75" customHeight="1">
      <c r="A42" s="22" t="s">
        <v>180</v>
      </c>
      <c r="B42" s="52">
        <f t="shared" ref="B42:I42" si="51">+IFERROR(B39/B49,"nm")</f>
        <v>0.1914556962</v>
      </c>
      <c r="C42" s="52">
        <f t="shared" si="51"/>
        <v>0.179245283</v>
      </c>
      <c r="D42" s="52">
        <f t="shared" si="51"/>
        <v>0.1709401709</v>
      </c>
      <c r="E42" s="52">
        <f t="shared" si="51"/>
        <v>0.1886792453</v>
      </c>
      <c r="F42" s="52">
        <f t="shared" si="51"/>
        <v>0.183046683</v>
      </c>
      <c r="G42" s="52">
        <f t="shared" si="51"/>
        <v>0.2294573643</v>
      </c>
      <c r="H42" s="52">
        <f t="shared" si="51"/>
        <v>0.2106969206</v>
      </c>
      <c r="I42" s="52">
        <f t="shared" si="51"/>
        <v>0.1940532081</v>
      </c>
      <c r="J42" s="75">
        <f t="shared" si="52"/>
        <v>0.1937312679</v>
      </c>
      <c r="K42" s="75">
        <v>0.1937312679072871</v>
      </c>
      <c r="L42" s="75">
        <v>0.1937312679072871</v>
      </c>
      <c r="M42" s="75">
        <v>0.1937312679072871</v>
      </c>
      <c r="N42" s="75">
        <v>0.1937312679072871</v>
      </c>
    </row>
    <row r="43" ht="15.75" customHeight="1">
      <c r="A43" s="28" t="s">
        <v>181</v>
      </c>
      <c r="B43" s="28">
        <f>+Historicals!B139</f>
        <v>3645</v>
      </c>
      <c r="C43" s="28">
        <f>+Historicals!C139</f>
        <v>3763</v>
      </c>
      <c r="D43" s="28">
        <f>+Historicals!D139</f>
        <v>3875</v>
      </c>
      <c r="E43" s="28">
        <f>+Historicals!E139</f>
        <v>3600</v>
      </c>
      <c r="F43" s="28">
        <f>+Historicals!F139</f>
        <v>3925</v>
      </c>
      <c r="G43" s="28">
        <f>+Historicals!G139</f>
        <v>2899</v>
      </c>
      <c r="H43" s="28">
        <f>+Historicals!H139</f>
        <v>5089</v>
      </c>
      <c r="I43" s="28">
        <f>+Historicals!I139</f>
        <v>5114</v>
      </c>
      <c r="J43" s="28">
        <f t="shared" ref="J43:N43" si="53">J22*J45</f>
        <v>4747.260012</v>
      </c>
      <c r="K43" s="28">
        <f t="shared" si="53"/>
        <v>4974.035249</v>
      </c>
      <c r="L43" s="28">
        <f t="shared" si="53"/>
        <v>5213.111281</v>
      </c>
      <c r="M43" s="28">
        <f t="shared" si="53"/>
        <v>5465.14433</v>
      </c>
      <c r="N43" s="28">
        <f t="shared" si="53"/>
        <v>5730.827338</v>
      </c>
    </row>
    <row r="44" ht="15.75" customHeight="1">
      <c r="A44" s="65" t="s">
        <v>138</v>
      </c>
      <c r="B44" s="75" t="str">
        <f t="shared" ref="B44:N44" si="54">+IFERROR(B43/A43-1,"nm")</f>
        <v>nm</v>
      </c>
      <c r="C44" s="75">
        <f t="shared" si="54"/>
        <v>0.03237311385</v>
      </c>
      <c r="D44" s="75">
        <f t="shared" si="54"/>
        <v>0.02976348658</v>
      </c>
      <c r="E44" s="75">
        <f t="shared" si="54"/>
        <v>-0.07096774194</v>
      </c>
      <c r="F44" s="75">
        <f t="shared" si="54"/>
        <v>0.09027777778</v>
      </c>
      <c r="G44" s="75">
        <f t="shared" si="54"/>
        <v>-0.2614012739</v>
      </c>
      <c r="H44" s="75">
        <f t="shared" si="54"/>
        <v>0.7554329079</v>
      </c>
      <c r="I44" s="75">
        <f t="shared" si="54"/>
        <v>0.004912556494</v>
      </c>
      <c r="J44" s="75">
        <f t="shared" si="54"/>
        <v>-0.07171294255</v>
      </c>
      <c r="K44" s="75">
        <f t="shared" si="54"/>
        <v>0.04776971062</v>
      </c>
      <c r="L44" s="75">
        <f t="shared" si="54"/>
        <v>0.04806480448</v>
      </c>
      <c r="M44" s="75">
        <f t="shared" si="54"/>
        <v>0.04834599445</v>
      </c>
      <c r="N44" s="75">
        <f t="shared" si="54"/>
        <v>0.04861408822</v>
      </c>
    </row>
    <row r="45" ht="15.75" customHeight="1">
      <c r="A45" s="65" t="s">
        <v>176</v>
      </c>
      <c r="B45" s="75">
        <f t="shared" ref="B45:I45" si="55">+IFERROR(B43/B$22,"nm")</f>
        <v>0.2652838428</v>
      </c>
      <c r="C45" s="75">
        <f t="shared" si="55"/>
        <v>0.2097430467</v>
      </c>
      <c r="D45" s="75">
        <f t="shared" si="55"/>
        <v>0.2546661409</v>
      </c>
      <c r="E45" s="75">
        <f t="shared" si="55"/>
        <v>0.2423426456</v>
      </c>
      <c r="F45" s="75">
        <f t="shared" si="55"/>
        <v>0.2468242988</v>
      </c>
      <c r="G45" s="75">
        <f t="shared" si="55"/>
        <v>0.2001518917</v>
      </c>
      <c r="H45" s="75">
        <f t="shared" si="55"/>
        <v>0.2962337738</v>
      </c>
      <c r="I45" s="75">
        <f t="shared" si="55"/>
        <v>0.2786465428</v>
      </c>
      <c r="J45" s="75">
        <f>AVERAGE(C45:I45)</f>
        <v>0.2469440486</v>
      </c>
      <c r="K45" s="75">
        <v>0.2469440486138837</v>
      </c>
      <c r="L45" s="75">
        <v>0.2469440486138837</v>
      </c>
      <c r="M45" s="75">
        <v>0.2469440486138837</v>
      </c>
      <c r="N45" s="75">
        <v>0.2469440486138837</v>
      </c>
    </row>
    <row r="46" ht="15.75" customHeight="1">
      <c r="A46" s="28" t="s">
        <v>182</v>
      </c>
      <c r="B46" s="28">
        <f>+Historicals!B161</f>
        <v>208</v>
      </c>
      <c r="C46" s="28">
        <f>+Historicals!C161</f>
        <v>242</v>
      </c>
      <c r="D46" s="28">
        <f>+Historicals!D161</f>
        <v>223</v>
      </c>
      <c r="E46" s="28">
        <f>+Historicals!E161</f>
        <v>196</v>
      </c>
      <c r="F46" s="28">
        <f>+Historicals!F161</f>
        <v>117</v>
      </c>
      <c r="G46" s="28">
        <f>+Historicals!G161</f>
        <v>110</v>
      </c>
      <c r="H46" s="28">
        <f>+Historicals!H161</f>
        <v>98</v>
      </c>
      <c r="I46" s="28">
        <f>+Historicals!I161</f>
        <v>146</v>
      </c>
      <c r="J46" s="28">
        <f t="shared" ref="J46:N46" si="56">J22*J48</f>
        <v>192.1040595</v>
      </c>
      <c r="K46" s="28">
        <f t="shared" si="56"/>
        <v>201.2808148</v>
      </c>
      <c r="L46" s="28">
        <f t="shared" si="56"/>
        <v>210.9553378</v>
      </c>
      <c r="M46" s="28">
        <f t="shared" si="56"/>
        <v>221.1541834</v>
      </c>
      <c r="N46" s="28">
        <f t="shared" si="56"/>
        <v>231.9053924</v>
      </c>
    </row>
    <row r="47" ht="15.75" customHeight="1">
      <c r="A47" s="65" t="s">
        <v>138</v>
      </c>
      <c r="B47" s="75" t="str">
        <f t="shared" ref="B47:I47" si="57">+IFERROR(B46/A46-1,"nm")</f>
        <v>nm</v>
      </c>
      <c r="C47" s="75">
        <f t="shared" si="57"/>
        <v>0.1634615385</v>
      </c>
      <c r="D47" s="75">
        <f t="shared" si="57"/>
        <v>-0.07851239669</v>
      </c>
      <c r="E47" s="75">
        <f t="shared" si="57"/>
        <v>-0.1210762332</v>
      </c>
      <c r="F47" s="75">
        <f t="shared" si="57"/>
        <v>-0.4030612245</v>
      </c>
      <c r="G47" s="75">
        <f t="shared" si="57"/>
        <v>-0.05982905983</v>
      </c>
      <c r="H47" s="75">
        <f t="shared" si="57"/>
        <v>-0.1090909091</v>
      </c>
      <c r="I47" s="75">
        <f t="shared" si="57"/>
        <v>0.4897959184</v>
      </c>
      <c r="J47" s="75">
        <f t="shared" ref="J47:N47" si="58">(J46-I46)/I46</f>
        <v>0.3157812295</v>
      </c>
      <c r="K47" s="75">
        <f t="shared" si="58"/>
        <v>0.04776971062</v>
      </c>
      <c r="L47" s="75">
        <f t="shared" si="58"/>
        <v>0.04806480448</v>
      </c>
      <c r="M47" s="75">
        <f t="shared" si="58"/>
        <v>0.04834599445</v>
      </c>
      <c r="N47" s="75">
        <f t="shared" si="58"/>
        <v>0.04861408822</v>
      </c>
    </row>
    <row r="48" ht="15.75" customHeight="1">
      <c r="A48" s="65" t="s">
        <v>179</v>
      </c>
      <c r="B48" s="75">
        <f t="shared" ref="B48:I48" si="59">+IFERROR(B46/B$22,"nm")</f>
        <v>0.01513828239</v>
      </c>
      <c r="C48" s="75">
        <f t="shared" si="59"/>
        <v>0.01348865727</v>
      </c>
      <c r="D48" s="75">
        <f t="shared" si="59"/>
        <v>0.01465562566</v>
      </c>
      <c r="E48" s="75">
        <f t="shared" si="59"/>
        <v>0.0131942107</v>
      </c>
      <c r="F48" s="75">
        <f t="shared" si="59"/>
        <v>0.007357565086</v>
      </c>
      <c r="G48" s="75">
        <f t="shared" si="59"/>
        <v>0.007594587131</v>
      </c>
      <c r="H48" s="75">
        <f t="shared" si="59"/>
        <v>0.005704639385</v>
      </c>
      <c r="I48" s="75">
        <f t="shared" si="59"/>
        <v>0.007955102708</v>
      </c>
      <c r="J48" s="77">
        <f>AVERAGE(C48:I48)</f>
        <v>0.009992912562</v>
      </c>
      <c r="K48" s="77">
        <v>0.009992912562318688</v>
      </c>
      <c r="L48" s="77">
        <v>0.009992912562318688</v>
      </c>
      <c r="M48" s="77">
        <v>0.009992912562318688</v>
      </c>
      <c r="N48" s="77">
        <v>0.009992912562318688</v>
      </c>
    </row>
    <row r="49" ht="15.75" customHeight="1">
      <c r="A49" s="28" t="s">
        <v>183</v>
      </c>
      <c r="B49" s="28">
        <f>+Historicals!B150</f>
        <v>632</v>
      </c>
      <c r="C49" s="28">
        <f>+Historicals!C150</f>
        <v>742</v>
      </c>
      <c r="D49" s="28">
        <f>+Historicals!D150</f>
        <v>819</v>
      </c>
      <c r="E49" s="28">
        <f>+Historicals!E150</f>
        <v>848</v>
      </c>
      <c r="F49" s="28">
        <f>+Historicals!F150</f>
        <v>814</v>
      </c>
      <c r="G49" s="28">
        <f>+Historicals!G150</f>
        <v>645</v>
      </c>
      <c r="H49" s="78">
        <f>+Historicals!H150</f>
        <v>617</v>
      </c>
      <c r="I49" s="78">
        <f>+Historicals!I150</f>
        <v>639</v>
      </c>
      <c r="J49" s="28">
        <f t="shared" ref="J49:N49" si="60">J22*J51</f>
        <v>875.3015111</v>
      </c>
      <c r="K49" s="28">
        <f t="shared" si="60"/>
        <v>917.114411</v>
      </c>
      <c r="L49" s="28">
        <f t="shared" si="60"/>
        <v>961.1953358</v>
      </c>
      <c r="M49" s="28">
        <f t="shared" si="60"/>
        <v>1007.66528</v>
      </c>
      <c r="N49" s="28">
        <f t="shared" si="60"/>
        <v>1056.652009</v>
      </c>
    </row>
    <row r="50" ht="15.75" customHeight="1">
      <c r="A50" s="65" t="s">
        <v>138</v>
      </c>
      <c r="B50" s="75" t="str">
        <f t="shared" ref="B50:N50" si="61">+IFERROR(B49/A49-1,"nm")</f>
        <v>nm</v>
      </c>
      <c r="C50" s="75">
        <f t="shared" si="61"/>
        <v>0.1740506329</v>
      </c>
      <c r="D50" s="75">
        <f t="shared" si="61"/>
        <v>0.1037735849</v>
      </c>
      <c r="E50" s="75">
        <f t="shared" si="61"/>
        <v>0.03540903541</v>
      </c>
      <c r="F50" s="75">
        <f t="shared" si="61"/>
        <v>-0.04009433962</v>
      </c>
      <c r="G50" s="75">
        <f t="shared" si="61"/>
        <v>-0.2076167076</v>
      </c>
      <c r="H50" s="75">
        <f t="shared" si="61"/>
        <v>-0.04341085271</v>
      </c>
      <c r="I50" s="75">
        <f t="shared" si="61"/>
        <v>0.03565640194</v>
      </c>
      <c r="J50" s="75">
        <f t="shared" si="61"/>
        <v>0.3697989219</v>
      </c>
      <c r="K50" s="75">
        <f t="shared" si="61"/>
        <v>0.04776971062</v>
      </c>
      <c r="L50" s="75">
        <f t="shared" si="61"/>
        <v>0.04806480448</v>
      </c>
      <c r="M50" s="75">
        <f t="shared" si="61"/>
        <v>0.04834599445</v>
      </c>
      <c r="N50" s="75">
        <f t="shared" si="61"/>
        <v>0.04861408822</v>
      </c>
    </row>
    <row r="51" ht="15.75" customHeight="1">
      <c r="A51" s="65" t="s">
        <v>179</v>
      </c>
      <c r="B51" s="75" t="str">
        <f>+IFERROR(B49/B$25,"nm")</f>
        <v>nm</v>
      </c>
      <c r="C51" s="75">
        <f t="shared" ref="C51:I51" si="62">+IFERROR(C49/C$22,"nm")</f>
        <v>0.04135778385</v>
      </c>
      <c r="D51" s="75">
        <f t="shared" si="62"/>
        <v>0.05382492114</v>
      </c>
      <c r="E51" s="75">
        <f t="shared" si="62"/>
        <v>0.05708515651</v>
      </c>
      <c r="F51" s="75">
        <f t="shared" si="62"/>
        <v>0.05118852974</v>
      </c>
      <c r="G51" s="75">
        <f t="shared" si="62"/>
        <v>0.04453189727</v>
      </c>
      <c r="H51" s="75">
        <f t="shared" si="62"/>
        <v>0.03591594388</v>
      </c>
      <c r="I51" s="75">
        <f t="shared" si="62"/>
        <v>0.0348171961</v>
      </c>
      <c r="J51" s="75">
        <f>AVERAGE(C51:I51)</f>
        <v>0.04553163264</v>
      </c>
      <c r="K51" s="77">
        <v>0.04553163264142867</v>
      </c>
      <c r="L51" s="77">
        <v>0.04553163264142867</v>
      </c>
      <c r="M51" s="77">
        <v>0.04553163264142867</v>
      </c>
      <c r="N51" s="77">
        <v>0.04553163264142867</v>
      </c>
    </row>
    <row r="52" ht="15.75" customHeight="1">
      <c r="A52" s="74" t="str">
        <f>+Historicals!A116</f>
        <v>Europe, Middle East &amp; Africa</v>
      </c>
      <c r="B52" s="74"/>
      <c r="C52" s="74"/>
      <c r="D52" s="74"/>
      <c r="E52" s="74"/>
      <c r="F52" s="74"/>
      <c r="G52" s="74"/>
      <c r="H52" s="74"/>
      <c r="I52" s="74"/>
      <c r="J52" s="62"/>
      <c r="K52" s="62"/>
      <c r="L52" s="62"/>
      <c r="M52" s="62"/>
      <c r="N52" s="62"/>
    </row>
    <row r="53" ht="15.75" customHeight="1">
      <c r="A53" s="28" t="s">
        <v>184</v>
      </c>
      <c r="B53" s="28"/>
      <c r="C53" s="28"/>
      <c r="D53" s="28"/>
      <c r="E53" s="28">
        <f t="shared" ref="E53:N53" si="63">E55+E59+E63</f>
        <v>9242</v>
      </c>
      <c r="F53" s="28">
        <f t="shared" si="63"/>
        <v>9812</v>
      </c>
      <c r="G53" s="28">
        <f t="shared" si="63"/>
        <v>9347</v>
      </c>
      <c r="H53" s="28">
        <f t="shared" si="63"/>
        <v>11456</v>
      </c>
      <c r="I53" s="28">
        <f t="shared" si="63"/>
        <v>12479</v>
      </c>
      <c r="J53" s="23">
        <f t="shared" si="63"/>
        <v>13529.51494</v>
      </c>
      <c r="K53" s="23">
        <f t="shared" si="63"/>
        <v>14677.79912</v>
      </c>
      <c r="L53" s="23">
        <f t="shared" si="63"/>
        <v>15933.79134</v>
      </c>
      <c r="M53" s="23">
        <f t="shared" si="63"/>
        <v>17308.50923</v>
      </c>
      <c r="N53" s="23">
        <f t="shared" si="63"/>
        <v>18814.17159</v>
      </c>
    </row>
    <row r="54" ht="15.75" customHeight="1">
      <c r="A54" s="65" t="s">
        <v>138</v>
      </c>
      <c r="B54" s="75"/>
      <c r="C54" s="75"/>
      <c r="D54" s="75"/>
      <c r="E54" s="75" t="str">
        <f t="shared" ref="E54:N54" si="64">+IFERROR(E53/D53-1,"nm")</f>
        <v>nm</v>
      </c>
      <c r="F54" s="75">
        <f t="shared" si="64"/>
        <v>0.06167496213</v>
      </c>
      <c r="G54" s="75">
        <f t="shared" si="64"/>
        <v>-0.04739094986</v>
      </c>
      <c r="H54" s="75">
        <f t="shared" si="64"/>
        <v>0.2256338932</v>
      </c>
      <c r="I54" s="75">
        <f t="shared" si="64"/>
        <v>0.08929818436</v>
      </c>
      <c r="J54" s="73">
        <f t="shared" si="64"/>
        <v>0.08418262198</v>
      </c>
      <c r="K54" s="73">
        <f t="shared" si="64"/>
        <v>0.08487253164</v>
      </c>
      <c r="L54" s="73">
        <f t="shared" si="64"/>
        <v>0.0855708817</v>
      </c>
      <c r="M54" s="73">
        <f t="shared" si="64"/>
        <v>0.08627688574</v>
      </c>
      <c r="N54" s="73">
        <f t="shared" si="64"/>
        <v>0.0869897191</v>
      </c>
    </row>
    <row r="55" ht="15.75" customHeight="1">
      <c r="A55" s="76" t="s">
        <v>145</v>
      </c>
      <c r="B55" s="23"/>
      <c r="C55" s="23"/>
      <c r="D55" s="23"/>
      <c r="E55" s="23">
        <f>+Historicals!E117</f>
        <v>5875</v>
      </c>
      <c r="F55" s="23">
        <f>+Historicals!F117</f>
        <v>6293</v>
      </c>
      <c r="G55" s="23">
        <f>+Historicals!G117</f>
        <v>5892</v>
      </c>
      <c r="H55" s="23">
        <f>+Historicals!H117</f>
        <v>6970</v>
      </c>
      <c r="I55" s="23">
        <f>+Historicals!I117</f>
        <v>7388</v>
      </c>
      <c r="J55" s="23">
        <f t="shared" ref="J55:N55" si="65">I55*(1+J56)</f>
        <v>7850.412319</v>
      </c>
      <c r="K55" s="23">
        <f t="shared" si="65"/>
        <v>8341.766863</v>
      </c>
      <c r="L55" s="23">
        <f t="shared" si="65"/>
        <v>8863.875115</v>
      </c>
      <c r="M55" s="23">
        <f t="shared" si="65"/>
        <v>9418.661938</v>
      </c>
      <c r="N55" s="23">
        <f t="shared" si="65"/>
        <v>10008.17267</v>
      </c>
    </row>
    <row r="56" ht="15.75" customHeight="1">
      <c r="A56" s="65" t="s">
        <v>138</v>
      </c>
      <c r="B56" s="75"/>
      <c r="C56" s="75"/>
      <c r="D56" s="75"/>
      <c r="E56" s="75" t="str">
        <f t="shared" ref="E56:I56" si="66">+IFERROR(E55/D55-1,"nm")</f>
        <v>nm</v>
      </c>
      <c r="F56" s="75">
        <f t="shared" si="66"/>
        <v>0.07114893617</v>
      </c>
      <c r="G56" s="75">
        <f t="shared" si="66"/>
        <v>-0.06372159542</v>
      </c>
      <c r="H56" s="75">
        <f t="shared" si="66"/>
        <v>0.1829599457</v>
      </c>
      <c r="I56" s="75">
        <f t="shared" si="66"/>
        <v>0.0599713056</v>
      </c>
      <c r="J56" s="73">
        <f>AVERAGE(C56:I56)</f>
        <v>0.06258964801</v>
      </c>
      <c r="K56" s="73">
        <v>0.06258964800780131</v>
      </c>
      <c r="L56" s="73">
        <v>0.06258964800780131</v>
      </c>
      <c r="M56" s="73">
        <v>0.06258964800780131</v>
      </c>
      <c r="N56" s="73">
        <v>0.06258964800780131</v>
      </c>
    </row>
    <row r="57" ht="15.75" customHeight="1">
      <c r="A57" s="65" t="s">
        <v>185</v>
      </c>
      <c r="B57" s="75"/>
      <c r="C57" s="75"/>
      <c r="D57" s="75"/>
      <c r="E57" s="75">
        <f>+Historicals!E189</f>
        <v>0.1315485362</v>
      </c>
      <c r="F57" s="75">
        <f>+Historicals!F189</f>
        <v>0.07114893617</v>
      </c>
      <c r="G57" s="75">
        <f>+Historicals!G189</f>
        <v>-0.06372159542</v>
      </c>
      <c r="H57" s="75">
        <f>+Historicals!H189</f>
        <v>0.1829599457</v>
      </c>
      <c r="I57" s="75">
        <f>+Historicals!I189</f>
        <v>0.09</v>
      </c>
      <c r="J57" s="73">
        <f>J56-J58</f>
        <v>0.06258964801</v>
      </c>
      <c r="K57" s="73">
        <v>0.06258964800780131</v>
      </c>
      <c r="L57" s="73">
        <v>0.06258964800780131</v>
      </c>
      <c r="M57" s="73">
        <v>0.06258964800780131</v>
      </c>
      <c r="N57" s="73">
        <v>0.06258964800780131</v>
      </c>
    </row>
    <row r="58" ht="15.75" customHeight="1">
      <c r="A58" s="65" t="s">
        <v>186</v>
      </c>
      <c r="B58" s="75"/>
      <c r="C58" s="75"/>
      <c r="D58" s="75"/>
      <c r="E58" s="75" t="str">
        <f t="shared" ref="E58:I58" si="67">+IFERROR(E56-E57,"nm")</f>
        <v>nm</v>
      </c>
      <c r="F58" s="75">
        <f t="shared" si="67"/>
        <v>0</v>
      </c>
      <c r="G58" s="75">
        <f t="shared" si="67"/>
        <v>0</v>
      </c>
      <c r="H58" s="75">
        <f t="shared" si="67"/>
        <v>0</v>
      </c>
      <c r="I58" s="75">
        <f t="shared" si="67"/>
        <v>-0.0300286944</v>
      </c>
      <c r="J58" s="73">
        <v>0.0</v>
      </c>
      <c r="K58" s="73">
        <v>0.0</v>
      </c>
      <c r="L58" s="73">
        <v>0.0</v>
      </c>
      <c r="M58" s="73">
        <v>0.0</v>
      </c>
      <c r="N58" s="73">
        <v>0.0</v>
      </c>
    </row>
    <row r="59" ht="15.75" customHeight="1">
      <c r="A59" s="76" t="s">
        <v>146</v>
      </c>
      <c r="B59" s="23"/>
      <c r="C59" s="23"/>
      <c r="D59" s="23"/>
      <c r="E59" s="23">
        <f>+Historicals!E118</f>
        <v>2940</v>
      </c>
      <c r="F59" s="23">
        <f>+Historicals!F118</f>
        <v>3087</v>
      </c>
      <c r="G59" s="23">
        <f>+Historicals!G118</f>
        <v>3053</v>
      </c>
      <c r="H59" s="23">
        <f>+Historicals!H118</f>
        <v>3996</v>
      </c>
      <c r="I59" s="23">
        <f>+Historicals!I118</f>
        <v>4527</v>
      </c>
      <c r="J59" s="23">
        <f t="shared" ref="J59:N59" si="68">I59*(1+J60)</f>
        <v>5071.083684</v>
      </c>
      <c r="K59" s="23">
        <f t="shared" si="68"/>
        <v>5680.558809</v>
      </c>
      <c r="L59" s="23">
        <f t="shared" si="68"/>
        <v>6363.284535</v>
      </c>
      <c r="M59" s="23">
        <f t="shared" si="68"/>
        <v>7128.064587</v>
      </c>
      <c r="N59" s="23">
        <f t="shared" si="68"/>
        <v>7984.760774</v>
      </c>
    </row>
    <row r="60" ht="15.75" customHeight="1">
      <c r="A60" s="65" t="s">
        <v>138</v>
      </c>
      <c r="B60" s="75"/>
      <c r="C60" s="75"/>
      <c r="D60" s="75"/>
      <c r="E60" s="75" t="str">
        <f t="shared" ref="E60:I60" si="69">+IFERROR(E59/D59-1,"nm")</f>
        <v>nm</v>
      </c>
      <c r="F60" s="75">
        <f t="shared" si="69"/>
        <v>0.05</v>
      </c>
      <c r="G60" s="75">
        <f t="shared" si="69"/>
        <v>-0.01101392938</v>
      </c>
      <c r="H60" s="75">
        <f t="shared" si="69"/>
        <v>0.3088765149</v>
      </c>
      <c r="I60" s="75">
        <f t="shared" si="69"/>
        <v>0.1328828829</v>
      </c>
      <c r="J60" s="73">
        <f>AVERAGE(C60:I60)</f>
        <v>0.1201863671</v>
      </c>
      <c r="K60" s="73">
        <v>0.12018636710124508</v>
      </c>
      <c r="L60" s="73">
        <v>0.12018636710124508</v>
      </c>
      <c r="M60" s="73">
        <v>0.12018636710124508</v>
      </c>
      <c r="N60" s="73">
        <v>0.12018636710124508</v>
      </c>
    </row>
    <row r="61" ht="15.75" customHeight="1">
      <c r="A61" s="65" t="s">
        <v>185</v>
      </c>
      <c r="B61" s="75"/>
      <c r="C61" s="75"/>
      <c r="D61" s="75"/>
      <c r="E61" s="75">
        <f>+Historicals!E190</f>
        <v>0.2275574113</v>
      </c>
      <c r="F61" s="75">
        <f>+Historicals!F190</f>
        <v>0.05</v>
      </c>
      <c r="G61" s="75">
        <f>+Historicals!G190</f>
        <v>-0.01101392938</v>
      </c>
      <c r="H61" s="75">
        <f>+Historicals!H190</f>
        <v>0.3088765149</v>
      </c>
      <c r="I61" s="75">
        <f>+Historicals!I190</f>
        <v>0.16</v>
      </c>
      <c r="J61" s="73">
        <f>J60-J62</f>
        <v>0.1201863671</v>
      </c>
      <c r="K61" s="73">
        <v>0.12018636710124508</v>
      </c>
      <c r="L61" s="73">
        <v>0.12018636710124508</v>
      </c>
      <c r="M61" s="73">
        <v>0.12018636710124508</v>
      </c>
      <c r="N61" s="73">
        <v>0.12018636710124508</v>
      </c>
    </row>
    <row r="62" ht="15.75" customHeight="1">
      <c r="A62" s="65" t="s">
        <v>186</v>
      </c>
      <c r="B62" s="75"/>
      <c r="C62" s="75"/>
      <c r="D62" s="75"/>
      <c r="E62" s="75" t="str">
        <f t="shared" ref="E62:I62" si="70">+IFERROR(E60-E61,"nm")</f>
        <v>nm</v>
      </c>
      <c r="F62" s="75">
        <f t="shared" si="70"/>
        <v>0</v>
      </c>
      <c r="G62" s="75">
        <f t="shared" si="70"/>
        <v>0</v>
      </c>
      <c r="H62" s="75">
        <f t="shared" si="70"/>
        <v>0</v>
      </c>
      <c r="I62" s="75">
        <f t="shared" si="70"/>
        <v>-0.02711711712</v>
      </c>
      <c r="J62" s="73">
        <v>0.0</v>
      </c>
      <c r="K62" s="73">
        <v>0.0</v>
      </c>
      <c r="L62" s="73">
        <v>0.0</v>
      </c>
      <c r="M62" s="73">
        <v>0.0</v>
      </c>
      <c r="N62" s="73">
        <v>0.0</v>
      </c>
    </row>
    <row r="63" ht="15.75" customHeight="1">
      <c r="A63" s="76" t="s">
        <v>147</v>
      </c>
      <c r="B63" s="23"/>
      <c r="C63" s="23"/>
      <c r="D63" s="23"/>
      <c r="E63" s="23">
        <f>+Historicals!E119</f>
        <v>427</v>
      </c>
      <c r="F63" s="23">
        <f>+Historicals!F119</f>
        <v>432</v>
      </c>
      <c r="G63" s="23">
        <f>+Historicals!G119</f>
        <v>402</v>
      </c>
      <c r="H63" s="23">
        <f>+Historicals!H119</f>
        <v>490</v>
      </c>
      <c r="I63" s="23">
        <f>+Historicals!I119</f>
        <v>564</v>
      </c>
      <c r="J63" s="23">
        <f t="shared" ref="J63:N63" si="71">I63*(1+J64)</f>
        <v>608.0189364</v>
      </c>
      <c r="K63" s="23">
        <f t="shared" si="71"/>
        <v>655.4734521</v>
      </c>
      <c r="L63" s="23">
        <f t="shared" si="71"/>
        <v>706.6316865</v>
      </c>
      <c r="M63" s="23">
        <f t="shared" si="71"/>
        <v>761.7827065</v>
      </c>
      <c r="N63" s="23">
        <f t="shared" si="71"/>
        <v>821.23814</v>
      </c>
    </row>
    <row r="64" ht="15.75" customHeight="1">
      <c r="A64" s="65" t="s">
        <v>138</v>
      </c>
      <c r="B64" s="75"/>
      <c r="C64" s="75"/>
      <c r="D64" s="75"/>
      <c r="E64" s="75" t="str">
        <f t="shared" ref="E64:I64" si="72">+IFERROR(E63/D63-1,"nm")</f>
        <v>nm</v>
      </c>
      <c r="F64" s="75">
        <f t="shared" si="72"/>
        <v>0.01170960187</v>
      </c>
      <c r="G64" s="75">
        <f t="shared" si="72"/>
        <v>-0.06944444444</v>
      </c>
      <c r="H64" s="75">
        <f t="shared" si="72"/>
        <v>0.2189054726</v>
      </c>
      <c r="I64" s="75">
        <f t="shared" si="72"/>
        <v>0.1510204082</v>
      </c>
      <c r="J64" s="73">
        <f>AVERAGE(C64:I64)</f>
        <v>0.07804775956</v>
      </c>
      <c r="K64" s="73">
        <v>0.07804775955729326</v>
      </c>
      <c r="L64" s="73">
        <v>0.07804775955729326</v>
      </c>
      <c r="M64" s="73">
        <v>0.07804775955729326</v>
      </c>
      <c r="N64" s="73">
        <v>0.07804775955729326</v>
      </c>
    </row>
    <row r="65" ht="15.75" customHeight="1">
      <c r="A65" s="65" t="s">
        <v>185</v>
      </c>
      <c r="B65" s="75"/>
      <c r="C65" s="75"/>
      <c r="D65" s="75"/>
      <c r="E65" s="75">
        <f>+Historicals!E191</f>
        <v>0.1148825065</v>
      </c>
      <c r="F65" s="75">
        <f>+Historicals!F191</f>
        <v>0.01170960187</v>
      </c>
      <c r="G65" s="75">
        <f>+Historicals!G191</f>
        <v>-0.06944444444</v>
      </c>
      <c r="H65" s="75">
        <f>+Historicals!H191</f>
        <v>0.2189054726</v>
      </c>
      <c r="I65" s="75">
        <f>+Historicals!I191</f>
        <v>0.17</v>
      </c>
      <c r="J65" s="73">
        <f>J64-J66</f>
        <v>0.07804775956</v>
      </c>
      <c r="K65" s="73">
        <v>0.07804775955729326</v>
      </c>
      <c r="L65" s="73">
        <v>0.07804775955729326</v>
      </c>
      <c r="M65" s="73">
        <v>0.07804775955729326</v>
      </c>
      <c r="N65" s="73">
        <v>0.07804775955729326</v>
      </c>
    </row>
    <row r="66" ht="15.75" customHeight="1">
      <c r="A66" s="65" t="s">
        <v>186</v>
      </c>
      <c r="B66" s="75"/>
      <c r="C66" s="75"/>
      <c r="D66" s="75"/>
      <c r="E66" s="75" t="str">
        <f t="shared" ref="E66:I66" si="73">+IFERROR(E64-E65,"nm")</f>
        <v>nm</v>
      </c>
      <c r="F66" s="75">
        <f t="shared" si="73"/>
        <v>0</v>
      </c>
      <c r="G66" s="75">
        <f t="shared" si="73"/>
        <v>0</v>
      </c>
      <c r="H66" s="75">
        <f t="shared" si="73"/>
        <v>0</v>
      </c>
      <c r="I66" s="75">
        <f t="shared" si="73"/>
        <v>-0.01897959184</v>
      </c>
      <c r="J66" s="73">
        <v>0.0</v>
      </c>
      <c r="K66" s="73">
        <v>0.0</v>
      </c>
      <c r="L66" s="73">
        <v>0.0</v>
      </c>
      <c r="M66" s="73">
        <v>0.0</v>
      </c>
      <c r="N66" s="73">
        <v>0.0</v>
      </c>
    </row>
    <row r="67" ht="15.75" customHeight="1">
      <c r="A67" s="28" t="s">
        <v>175</v>
      </c>
      <c r="B67" s="28"/>
      <c r="C67" s="28"/>
      <c r="D67" s="28"/>
      <c r="E67" s="28">
        <f t="shared" ref="E67:N67" si="74">+E74+E70</f>
        <v>1703</v>
      </c>
      <c r="F67" s="28">
        <f t="shared" si="74"/>
        <v>2106</v>
      </c>
      <c r="G67" s="28">
        <f t="shared" si="74"/>
        <v>1673</v>
      </c>
      <c r="H67" s="28">
        <f t="shared" si="74"/>
        <v>2571</v>
      </c>
      <c r="I67" s="28">
        <f t="shared" si="74"/>
        <v>3427</v>
      </c>
      <c r="J67" s="28">
        <f t="shared" si="74"/>
        <v>2914.529488</v>
      </c>
      <c r="K67" s="28">
        <f t="shared" si="74"/>
        <v>3161.892984</v>
      </c>
      <c r="L67" s="28">
        <f t="shared" si="74"/>
        <v>3432.458955</v>
      </c>
      <c r="M67" s="28">
        <f t="shared" si="74"/>
        <v>3728.600824</v>
      </c>
      <c r="N67" s="28">
        <f t="shared" si="74"/>
        <v>4052.950762</v>
      </c>
      <c r="O67" s="79"/>
      <c r="P67" s="79"/>
      <c r="Q67" s="79"/>
      <c r="R67" s="79"/>
      <c r="S67" s="79"/>
      <c r="T67" s="79"/>
      <c r="U67" s="79"/>
      <c r="V67" s="79"/>
      <c r="W67" s="79"/>
      <c r="X67" s="79"/>
      <c r="Y67" s="79"/>
      <c r="Z67" s="79"/>
    </row>
    <row r="68" ht="15.75" customHeight="1">
      <c r="A68" s="65" t="s">
        <v>138</v>
      </c>
      <c r="B68" s="75"/>
      <c r="C68" s="75"/>
      <c r="D68" s="75"/>
      <c r="E68" s="75" t="str">
        <f t="shared" ref="E68:N68" si="75">+IFERROR(E67/D67-1,"nm")</f>
        <v>nm</v>
      </c>
      <c r="F68" s="75">
        <f t="shared" si="75"/>
        <v>0.2366412214</v>
      </c>
      <c r="G68" s="75">
        <f t="shared" si="75"/>
        <v>-0.2056030389</v>
      </c>
      <c r="H68" s="75">
        <f t="shared" si="75"/>
        <v>0.5367603108</v>
      </c>
      <c r="I68" s="75">
        <f t="shared" si="75"/>
        <v>0.3329443796</v>
      </c>
      <c r="J68" s="75">
        <f t="shared" si="75"/>
        <v>-0.1495391047</v>
      </c>
      <c r="K68" s="75">
        <f t="shared" si="75"/>
        <v>0.08487253164</v>
      </c>
      <c r="L68" s="75">
        <f t="shared" si="75"/>
        <v>0.0855708817</v>
      </c>
      <c r="M68" s="75">
        <f t="shared" si="75"/>
        <v>0.08627688574</v>
      </c>
      <c r="N68" s="75">
        <f t="shared" si="75"/>
        <v>0.0869897191</v>
      </c>
    </row>
    <row r="69" ht="15.75" customHeight="1">
      <c r="A69" s="65" t="s">
        <v>176</v>
      </c>
      <c r="B69" s="75"/>
      <c r="C69" s="75"/>
      <c r="D69" s="75"/>
      <c r="E69" s="75">
        <f t="shared" ref="E69:I69" si="76">+IFERROR(E67/E$53,"nm")</f>
        <v>0.1842674746</v>
      </c>
      <c r="F69" s="75">
        <f t="shared" si="76"/>
        <v>0.2146351406</v>
      </c>
      <c r="G69" s="75">
        <f t="shared" si="76"/>
        <v>0.1789879106</v>
      </c>
      <c r="H69" s="75">
        <f t="shared" si="76"/>
        <v>0.2244238827</v>
      </c>
      <c r="I69" s="75">
        <f t="shared" si="76"/>
        <v>0.2746213639</v>
      </c>
      <c r="J69" s="73">
        <f>AVERAGE(C69:I69)</f>
        <v>0.2153871545</v>
      </c>
      <c r="K69" s="73">
        <v>0.2153871544698304</v>
      </c>
      <c r="L69" s="73">
        <v>0.2153871544698304</v>
      </c>
      <c r="M69" s="73">
        <v>0.2153871544698304</v>
      </c>
      <c r="N69" s="73">
        <v>0.2153871544698304</v>
      </c>
    </row>
    <row r="70" ht="15.75" customHeight="1">
      <c r="A70" s="28" t="s">
        <v>177</v>
      </c>
      <c r="B70" s="28"/>
      <c r="C70" s="28"/>
      <c r="D70" s="28"/>
      <c r="E70" s="28">
        <f>+Historicals!E173</f>
        <v>116</v>
      </c>
      <c r="F70" s="28">
        <f>+Historicals!F173</f>
        <v>111</v>
      </c>
      <c r="G70" s="28">
        <f>+Historicals!G173</f>
        <v>132</v>
      </c>
      <c r="H70" s="28">
        <f>+Historicals!H173</f>
        <v>136</v>
      </c>
      <c r="I70" s="28">
        <f>+Historicals!I173</f>
        <v>134</v>
      </c>
      <c r="J70" s="28">
        <f t="shared" ref="J70:N70" si="77">J73*J80</f>
        <v>164.412122</v>
      </c>
      <c r="K70" s="28">
        <f t="shared" si="77"/>
        <v>178.366195</v>
      </c>
      <c r="L70" s="28">
        <f t="shared" si="77"/>
        <v>193.6291476</v>
      </c>
      <c r="M70" s="28">
        <f t="shared" si="77"/>
        <v>210.3348674</v>
      </c>
      <c r="N70" s="28">
        <f t="shared" si="77"/>
        <v>228.6318385</v>
      </c>
      <c r="O70" s="79"/>
      <c r="P70" s="79"/>
      <c r="Q70" s="79"/>
      <c r="R70" s="79"/>
      <c r="S70" s="79"/>
      <c r="T70" s="79"/>
      <c r="U70" s="79"/>
      <c r="V70" s="79"/>
      <c r="W70" s="79"/>
      <c r="X70" s="79"/>
      <c r="Y70" s="79"/>
      <c r="Z70" s="79"/>
    </row>
    <row r="71" ht="15.75" customHeight="1">
      <c r="A71" s="65" t="s">
        <v>138</v>
      </c>
      <c r="B71" s="75"/>
      <c r="C71" s="75"/>
      <c r="D71" s="75"/>
      <c r="E71" s="75" t="str">
        <f t="shared" ref="E71:N71" si="78">+IFERROR(E70/D70-1,"nm")</f>
        <v>nm</v>
      </c>
      <c r="F71" s="75">
        <f t="shared" si="78"/>
        <v>-0.04310344828</v>
      </c>
      <c r="G71" s="75">
        <f t="shared" si="78"/>
        <v>0.1891891892</v>
      </c>
      <c r="H71" s="75">
        <f t="shared" si="78"/>
        <v>0.0303030303</v>
      </c>
      <c r="I71" s="75">
        <f t="shared" si="78"/>
        <v>-0.01470588235</v>
      </c>
      <c r="J71" s="73">
        <f t="shared" si="78"/>
        <v>0.2269561343</v>
      </c>
      <c r="K71" s="73">
        <f t="shared" si="78"/>
        <v>0.08487253164</v>
      </c>
      <c r="L71" s="73">
        <f t="shared" si="78"/>
        <v>0.0855708817</v>
      </c>
      <c r="M71" s="73">
        <f t="shared" si="78"/>
        <v>0.08627688574</v>
      </c>
      <c r="N71" s="73">
        <f t="shared" si="78"/>
        <v>0.0869897191</v>
      </c>
    </row>
    <row r="72" ht="15.75" customHeight="1">
      <c r="A72" s="65" t="s">
        <v>179</v>
      </c>
      <c r="B72" s="75"/>
      <c r="C72" s="75"/>
      <c r="D72" s="75"/>
      <c r="E72" s="75">
        <f t="shared" ref="E72:I72" si="79">+IFERROR(E70/E$53,"nm")</f>
        <v>0.0125513958</v>
      </c>
      <c r="F72" s="75">
        <f t="shared" si="79"/>
        <v>0.01131267835</v>
      </c>
      <c r="G72" s="75">
        <f t="shared" si="79"/>
        <v>0.01412217824</v>
      </c>
      <c r="H72" s="75">
        <f t="shared" si="79"/>
        <v>0.01187150838</v>
      </c>
      <c r="I72" s="75">
        <f t="shared" si="79"/>
        <v>0.01073803991</v>
      </c>
      <c r="J72" s="73">
        <f t="shared" ref="J72:N72" si="80">J70/J53</f>
        <v>0.01215210765</v>
      </c>
      <c r="K72" s="73">
        <f t="shared" si="80"/>
        <v>0.01215210765</v>
      </c>
      <c r="L72" s="73">
        <f t="shared" si="80"/>
        <v>0.01215210765</v>
      </c>
      <c r="M72" s="73">
        <f t="shared" si="80"/>
        <v>0.01215210765</v>
      </c>
      <c r="N72" s="73">
        <f t="shared" si="80"/>
        <v>0.01215210765</v>
      </c>
    </row>
    <row r="73" ht="15.75" customHeight="1">
      <c r="A73" s="65" t="s">
        <v>180</v>
      </c>
      <c r="B73" s="75"/>
      <c r="C73" s="75"/>
      <c r="D73" s="75"/>
      <c r="E73" s="75">
        <f t="shared" ref="E73:I73" si="81">+IFERROR(E70/E80,"nm")</f>
        <v>0.136631331</v>
      </c>
      <c r="F73" s="75">
        <f t="shared" si="81"/>
        <v>0.1194833154</v>
      </c>
      <c r="G73" s="75">
        <f t="shared" si="81"/>
        <v>0.1491525424</v>
      </c>
      <c r="H73" s="75">
        <f t="shared" si="81"/>
        <v>0.1384928717</v>
      </c>
      <c r="I73" s="75">
        <f t="shared" si="81"/>
        <v>0.1456521739</v>
      </c>
      <c r="J73" s="73">
        <f>AVERAGE(C73:I73)</f>
        <v>0.1378824469</v>
      </c>
      <c r="K73" s="73">
        <v>0.13788244686937373</v>
      </c>
      <c r="L73" s="73">
        <v>0.13788244686937373</v>
      </c>
      <c r="M73" s="73">
        <v>0.13788244686937373</v>
      </c>
      <c r="N73" s="73">
        <v>0.13788244686937373</v>
      </c>
    </row>
    <row r="74" ht="15.75" customHeight="1">
      <c r="A74" s="28" t="s">
        <v>181</v>
      </c>
      <c r="B74" s="28"/>
      <c r="C74" s="28"/>
      <c r="D74" s="28"/>
      <c r="E74" s="28">
        <f>+Historicals!E140</f>
        <v>1587</v>
      </c>
      <c r="F74" s="28">
        <f>+Historicals!F140</f>
        <v>1995</v>
      </c>
      <c r="G74" s="28">
        <f>+Historicals!G140</f>
        <v>1541</v>
      </c>
      <c r="H74" s="28">
        <f>+Historicals!H140</f>
        <v>2435</v>
      </c>
      <c r="I74" s="28">
        <f>+Historicals!I140</f>
        <v>3293</v>
      </c>
      <c r="J74" s="28">
        <f t="shared" ref="J74:N74" si="82">J53*J76</f>
        <v>2750.117366</v>
      </c>
      <c r="K74" s="28">
        <f t="shared" si="82"/>
        <v>2983.526789</v>
      </c>
      <c r="L74" s="28">
        <f t="shared" si="82"/>
        <v>3238.829807</v>
      </c>
      <c r="M74" s="28">
        <f t="shared" si="82"/>
        <v>3518.265956</v>
      </c>
      <c r="N74" s="28">
        <f t="shared" si="82"/>
        <v>3824.318924</v>
      </c>
      <c r="O74" s="79"/>
      <c r="P74" s="79"/>
      <c r="Q74" s="79"/>
      <c r="R74" s="79"/>
      <c r="S74" s="79"/>
      <c r="T74" s="79"/>
      <c r="U74" s="79"/>
      <c r="V74" s="79"/>
      <c r="W74" s="79"/>
      <c r="X74" s="79"/>
      <c r="Y74" s="79"/>
      <c r="Z74" s="79"/>
    </row>
    <row r="75" ht="15.75" customHeight="1">
      <c r="A75" s="65" t="s">
        <v>138</v>
      </c>
      <c r="B75" s="75"/>
      <c r="C75" s="75"/>
      <c r="D75" s="75"/>
      <c r="E75" s="75" t="str">
        <f t="shared" ref="E75:N75" si="83">+IFERROR(E74/D74-1,"nm")</f>
        <v>nm</v>
      </c>
      <c r="F75" s="75">
        <f t="shared" si="83"/>
        <v>0.2570888469</v>
      </c>
      <c r="G75" s="75">
        <f t="shared" si="83"/>
        <v>-0.2275689223</v>
      </c>
      <c r="H75" s="75">
        <f t="shared" si="83"/>
        <v>0.5801427644</v>
      </c>
      <c r="I75" s="75">
        <f t="shared" si="83"/>
        <v>0.3523613963</v>
      </c>
      <c r="J75" s="73">
        <f t="shared" si="83"/>
        <v>-0.1648595912</v>
      </c>
      <c r="K75" s="73">
        <f t="shared" si="83"/>
        <v>0.08487253164</v>
      </c>
      <c r="L75" s="73">
        <f t="shared" si="83"/>
        <v>0.0855708817</v>
      </c>
      <c r="M75" s="73">
        <f t="shared" si="83"/>
        <v>0.08627688574</v>
      </c>
      <c r="N75" s="73">
        <f t="shared" si="83"/>
        <v>0.0869897191</v>
      </c>
    </row>
    <row r="76" ht="15.75" customHeight="1">
      <c r="A76" s="65" t="s">
        <v>176</v>
      </c>
      <c r="B76" s="75"/>
      <c r="C76" s="75"/>
      <c r="D76" s="75"/>
      <c r="E76" s="75">
        <f t="shared" ref="E76:I76" si="84">+IFERROR(E74/E$53,"nm")</f>
        <v>0.1717160788</v>
      </c>
      <c r="F76" s="75">
        <f t="shared" si="84"/>
        <v>0.2033224623</v>
      </c>
      <c r="G76" s="75">
        <f t="shared" si="84"/>
        <v>0.1648657323</v>
      </c>
      <c r="H76" s="75">
        <f t="shared" si="84"/>
        <v>0.2125523743</v>
      </c>
      <c r="I76" s="75">
        <f t="shared" si="84"/>
        <v>0.263883324</v>
      </c>
      <c r="J76" s="73">
        <f>AVERAGE(C76:I76)</f>
        <v>0.2032679943</v>
      </c>
      <c r="K76" s="73">
        <v>0.20326799433368023</v>
      </c>
      <c r="L76" s="73">
        <v>0.20326799433368023</v>
      </c>
      <c r="M76" s="73">
        <v>0.20326799433368023</v>
      </c>
      <c r="N76" s="73">
        <v>0.20326799433368023</v>
      </c>
    </row>
    <row r="77" ht="15.75" customHeight="1">
      <c r="A77" s="28" t="s">
        <v>182</v>
      </c>
      <c r="B77" s="28"/>
      <c r="C77" s="28"/>
      <c r="D77" s="28"/>
      <c r="E77" s="28">
        <f>+Historicals!E162</f>
        <v>240</v>
      </c>
      <c r="F77" s="28">
        <f>+Historicals!F162</f>
        <v>233</v>
      </c>
      <c r="G77" s="28">
        <f>+Historicals!G162</f>
        <v>139</v>
      </c>
      <c r="H77" s="28">
        <f>+Historicals!H162</f>
        <v>153</v>
      </c>
      <c r="I77" s="28">
        <f>+Historicals!I162</f>
        <v>197</v>
      </c>
      <c r="J77" s="28">
        <f t="shared" ref="J77:N77" si="85">J53*J79</f>
        <v>253.6185721</v>
      </c>
      <c r="K77" s="28">
        <f t="shared" si="85"/>
        <v>275.1438224</v>
      </c>
      <c r="L77" s="28">
        <f t="shared" si="85"/>
        <v>298.6881218</v>
      </c>
      <c r="M77" s="28">
        <f t="shared" si="85"/>
        <v>324.4580028</v>
      </c>
      <c r="N77" s="28">
        <f t="shared" si="85"/>
        <v>352.6825133</v>
      </c>
      <c r="O77" s="79"/>
      <c r="P77" s="79"/>
      <c r="Q77" s="79"/>
      <c r="R77" s="79"/>
      <c r="S77" s="79"/>
      <c r="T77" s="79"/>
      <c r="U77" s="79"/>
      <c r="V77" s="79"/>
      <c r="W77" s="79"/>
      <c r="X77" s="79"/>
      <c r="Y77" s="79"/>
      <c r="Z77" s="79"/>
    </row>
    <row r="78" ht="15.75" customHeight="1">
      <c r="A78" s="65" t="s">
        <v>138</v>
      </c>
      <c r="B78" s="75"/>
      <c r="C78" s="75"/>
      <c r="D78" s="75"/>
      <c r="E78" s="75" t="str">
        <f t="shared" ref="E78:I78" si="86">+IFERROR(E77/D77-1,"nm")</f>
        <v>nm</v>
      </c>
      <c r="F78" s="75">
        <f t="shared" si="86"/>
        <v>-0.02916666667</v>
      </c>
      <c r="G78" s="75">
        <f t="shared" si="86"/>
        <v>-0.4034334764</v>
      </c>
      <c r="H78" s="75">
        <f t="shared" si="86"/>
        <v>0.1007194245</v>
      </c>
      <c r="I78" s="75">
        <f t="shared" si="86"/>
        <v>0.2875816993</v>
      </c>
      <c r="J78" s="73">
        <f t="shared" ref="J78:N78" si="87">(J77-I77)/I77</f>
        <v>0.2874039192</v>
      </c>
      <c r="K78" s="73">
        <f t="shared" si="87"/>
        <v>0.08487253164</v>
      </c>
      <c r="L78" s="73">
        <f t="shared" si="87"/>
        <v>0.0855708817</v>
      </c>
      <c r="M78" s="73">
        <f t="shared" si="87"/>
        <v>0.08627688574</v>
      </c>
      <c r="N78" s="73">
        <f t="shared" si="87"/>
        <v>0.0869897191</v>
      </c>
    </row>
    <row r="79" ht="15.75" customHeight="1">
      <c r="A79" s="65" t="s">
        <v>179</v>
      </c>
      <c r="B79" s="75"/>
      <c r="C79" s="75"/>
      <c r="D79" s="75"/>
      <c r="E79" s="75">
        <f t="shared" ref="E79:I79" si="88">+IFERROR(E77/E$53,"nm")</f>
        <v>0.02596840511</v>
      </c>
      <c r="F79" s="75">
        <f t="shared" si="88"/>
        <v>0.02374643294</v>
      </c>
      <c r="G79" s="75">
        <f t="shared" si="88"/>
        <v>0.01487108163</v>
      </c>
      <c r="H79" s="75">
        <f t="shared" si="88"/>
        <v>0.01335544693</v>
      </c>
      <c r="I79" s="75">
        <f t="shared" si="88"/>
        <v>0.01578652136</v>
      </c>
      <c r="J79" s="73">
        <f>AVERAGE(C79:I79)</f>
        <v>0.01874557759</v>
      </c>
      <c r="K79" s="73">
        <v>0.01874557759201991</v>
      </c>
      <c r="L79" s="73">
        <v>0.01874557759201991</v>
      </c>
      <c r="M79" s="73">
        <v>0.01874557759201991</v>
      </c>
      <c r="N79" s="73">
        <v>0.01874557759201991</v>
      </c>
    </row>
    <row r="80" ht="15.75" customHeight="1">
      <c r="A80" s="28" t="s">
        <v>183</v>
      </c>
      <c r="B80" s="28"/>
      <c r="C80" s="28"/>
      <c r="D80" s="28"/>
      <c r="E80" s="28">
        <f>+Historicals!E151</f>
        <v>849</v>
      </c>
      <c r="F80" s="28">
        <f>+Historicals!F151</f>
        <v>929</v>
      </c>
      <c r="G80" s="28">
        <f>+Historicals!G151</f>
        <v>885</v>
      </c>
      <c r="H80" s="80">
        <f>+Historicals!H151</f>
        <v>982</v>
      </c>
      <c r="I80" s="80">
        <f>+Historicals!I151</f>
        <v>920</v>
      </c>
      <c r="J80" s="28">
        <f t="shared" ref="J80:N80" si="89">J53*J82</f>
        <v>1192.407922</v>
      </c>
      <c r="K80" s="28">
        <f t="shared" si="89"/>
        <v>1293.610601</v>
      </c>
      <c r="L80" s="28">
        <f t="shared" si="89"/>
        <v>1404.306001</v>
      </c>
      <c r="M80" s="28">
        <f t="shared" si="89"/>
        <v>1525.46515</v>
      </c>
      <c r="N80" s="28">
        <f t="shared" si="89"/>
        <v>1658.164934</v>
      </c>
      <c r="O80" s="79"/>
      <c r="P80" s="79"/>
      <c r="Q80" s="79"/>
      <c r="R80" s="79"/>
      <c r="S80" s="79"/>
      <c r="T80" s="79"/>
      <c r="U80" s="79"/>
      <c r="V80" s="79"/>
      <c r="W80" s="79"/>
      <c r="X80" s="79"/>
      <c r="Y80" s="79"/>
      <c r="Z80" s="79"/>
    </row>
    <row r="81" ht="15.75" customHeight="1">
      <c r="A81" s="65" t="s">
        <v>138</v>
      </c>
      <c r="B81" s="75"/>
      <c r="C81" s="75"/>
      <c r="D81" s="75"/>
      <c r="E81" s="75" t="str">
        <f t="shared" ref="E81:N81" si="90">+IFERROR(E80/D80-1,"nm")</f>
        <v>nm</v>
      </c>
      <c r="F81" s="75">
        <f t="shared" si="90"/>
        <v>0.09422850412</v>
      </c>
      <c r="G81" s="75">
        <f t="shared" si="90"/>
        <v>-0.04736275565</v>
      </c>
      <c r="H81" s="75">
        <f t="shared" si="90"/>
        <v>0.1096045198</v>
      </c>
      <c r="I81" s="75">
        <f t="shared" si="90"/>
        <v>-0.06313645621</v>
      </c>
      <c r="J81" s="73">
        <f t="shared" si="90"/>
        <v>0.2960955678</v>
      </c>
      <c r="K81" s="73">
        <f t="shared" si="90"/>
        <v>0.08487253164</v>
      </c>
      <c r="L81" s="73">
        <f t="shared" si="90"/>
        <v>0.0855708817</v>
      </c>
      <c r="M81" s="73">
        <f t="shared" si="90"/>
        <v>0.08627688574</v>
      </c>
      <c r="N81" s="73">
        <f t="shared" si="90"/>
        <v>0.0869897191</v>
      </c>
    </row>
    <row r="82" ht="15.75" customHeight="1">
      <c r="A82" s="65" t="s">
        <v>179</v>
      </c>
      <c r="B82" s="75"/>
      <c r="C82" s="75"/>
      <c r="D82" s="75"/>
      <c r="E82" s="75">
        <f t="shared" ref="E82:I82" si="91">+IFERROR(E80/E$53,"nm")</f>
        <v>0.09186323307</v>
      </c>
      <c r="F82" s="75">
        <f t="shared" si="91"/>
        <v>0.09467998369</v>
      </c>
      <c r="G82" s="75">
        <f t="shared" si="91"/>
        <v>0.09468278592</v>
      </c>
      <c r="H82" s="75">
        <f t="shared" si="91"/>
        <v>0.08571927374</v>
      </c>
      <c r="I82" s="75">
        <f t="shared" si="91"/>
        <v>0.07372385608</v>
      </c>
      <c r="J82" s="73">
        <f>AVERAGE(C82:I82)</f>
        <v>0.0881338265</v>
      </c>
      <c r="K82" s="73">
        <v>0.08813382650034338</v>
      </c>
      <c r="L82" s="73">
        <v>0.08813382650034338</v>
      </c>
      <c r="M82" s="73">
        <v>0.08813382650034338</v>
      </c>
      <c r="N82" s="73">
        <v>0.08813382650034338</v>
      </c>
    </row>
    <row r="83" ht="15.75" customHeight="1">
      <c r="A83" s="74" t="str">
        <f>+Historicals!A120</f>
        <v>Greater China</v>
      </c>
      <c r="B83" s="74"/>
      <c r="C83" s="74"/>
      <c r="D83" s="74"/>
      <c r="E83" s="74"/>
      <c r="F83" s="74"/>
      <c r="G83" s="74"/>
      <c r="H83" s="74"/>
      <c r="I83" s="74"/>
      <c r="J83" s="62"/>
      <c r="K83" s="62"/>
      <c r="L83" s="62"/>
      <c r="M83" s="62"/>
      <c r="N83" s="62"/>
    </row>
    <row r="84" ht="15.75" customHeight="1">
      <c r="A84" s="81" t="s">
        <v>187</v>
      </c>
      <c r="B84" s="81">
        <f t="shared" ref="B84:N84" si="92">B86+B90+B94</f>
        <v>3067</v>
      </c>
      <c r="C84" s="81">
        <f t="shared" si="92"/>
        <v>3785</v>
      </c>
      <c r="D84" s="81">
        <f t="shared" si="92"/>
        <v>4237</v>
      </c>
      <c r="E84" s="81">
        <f t="shared" si="92"/>
        <v>5134</v>
      </c>
      <c r="F84" s="81">
        <f t="shared" si="92"/>
        <v>6208</v>
      </c>
      <c r="G84" s="81">
        <f t="shared" si="92"/>
        <v>6679</v>
      </c>
      <c r="H84" s="81">
        <f t="shared" si="92"/>
        <v>8290</v>
      </c>
      <c r="I84" s="81">
        <f t="shared" si="92"/>
        <v>7547</v>
      </c>
      <c r="J84" s="23">
        <f t="shared" si="92"/>
        <v>8644.87742</v>
      </c>
      <c r="K84" s="23">
        <f t="shared" si="92"/>
        <v>9905.511492</v>
      </c>
      <c r="L84" s="23">
        <f t="shared" si="92"/>
        <v>11353.354</v>
      </c>
      <c r="M84" s="23">
        <f t="shared" si="92"/>
        <v>13016.5666</v>
      </c>
      <c r="N84" s="23">
        <f t="shared" si="92"/>
        <v>14927.58788</v>
      </c>
    </row>
    <row r="85" ht="15.75" customHeight="1">
      <c r="A85" s="82" t="s">
        <v>188</v>
      </c>
      <c r="B85" s="83" t="str">
        <f t="shared" ref="B85:N85" si="93">+IFERROR(B84/A84-1,"nm")</f>
        <v>nm</v>
      </c>
      <c r="C85" s="83">
        <f t="shared" si="93"/>
        <v>0.2341049886</v>
      </c>
      <c r="D85" s="83">
        <f t="shared" si="93"/>
        <v>0.1194187583</v>
      </c>
      <c r="E85" s="83">
        <f t="shared" si="93"/>
        <v>0.211706396</v>
      </c>
      <c r="F85" s="83">
        <f t="shared" si="93"/>
        <v>0.2091936112</v>
      </c>
      <c r="G85" s="83">
        <f t="shared" si="93"/>
        <v>0.07586984536</v>
      </c>
      <c r="H85" s="83">
        <f t="shared" si="93"/>
        <v>0.241203773</v>
      </c>
      <c r="I85" s="83">
        <f t="shared" si="93"/>
        <v>-0.08962605549</v>
      </c>
      <c r="J85" s="73">
        <f t="shared" si="93"/>
        <v>0.1454720313</v>
      </c>
      <c r="K85" s="73">
        <f t="shared" si="93"/>
        <v>0.1458244011</v>
      </c>
      <c r="L85" s="73">
        <f t="shared" si="93"/>
        <v>0.1461653456</v>
      </c>
      <c r="M85" s="73">
        <f t="shared" si="93"/>
        <v>0.146495264</v>
      </c>
      <c r="N85" s="73">
        <f t="shared" si="93"/>
        <v>0.1468145435</v>
      </c>
    </row>
    <row r="86" ht="15.75" customHeight="1">
      <c r="A86" s="84" t="s">
        <v>189</v>
      </c>
      <c r="B86" s="44">
        <f>+Historicals!B121</f>
        <v>2016</v>
      </c>
      <c r="C86" s="44">
        <f>+Historicals!C121</f>
        <v>2599</v>
      </c>
      <c r="D86" s="44">
        <f>+Historicals!D121</f>
        <v>2920</v>
      </c>
      <c r="E86" s="44">
        <f>+Historicals!E121</f>
        <v>3496</v>
      </c>
      <c r="F86" s="44">
        <f>+Historicals!F121</f>
        <v>4262</v>
      </c>
      <c r="G86" s="44">
        <f>+Historicals!G121</f>
        <v>4635</v>
      </c>
      <c r="H86" s="44">
        <f>+Historicals!H121</f>
        <v>5748</v>
      </c>
      <c r="I86" s="44">
        <f>+Historicals!I121</f>
        <v>5416</v>
      </c>
      <c r="J86" s="23">
        <f t="shared" ref="J86:N86" si="94">I86*(1+J87)</f>
        <v>6266.274244</v>
      </c>
      <c r="K86" s="23">
        <f t="shared" si="94"/>
        <v>7250.035617</v>
      </c>
      <c r="L86" s="23">
        <f t="shared" si="94"/>
        <v>8388.240668</v>
      </c>
      <c r="M86" s="23">
        <f t="shared" si="94"/>
        <v>9705.135978</v>
      </c>
      <c r="N86" s="23">
        <f t="shared" si="94"/>
        <v>11228.77467</v>
      </c>
    </row>
    <row r="87" ht="15.75" customHeight="1">
      <c r="A87" s="82" t="s">
        <v>188</v>
      </c>
      <c r="B87" s="83" t="str">
        <f t="shared" ref="B87:I87" si="95">+IFERROR(B86/A86-1,"nm")</f>
        <v>nm</v>
      </c>
      <c r="C87" s="83">
        <f t="shared" si="95"/>
        <v>0.2891865079</v>
      </c>
      <c r="D87" s="83">
        <f t="shared" si="95"/>
        <v>0.1235090419</v>
      </c>
      <c r="E87" s="83">
        <f t="shared" si="95"/>
        <v>0.197260274</v>
      </c>
      <c r="F87" s="83">
        <f t="shared" si="95"/>
        <v>0.2191075515</v>
      </c>
      <c r="G87" s="83">
        <f t="shared" si="95"/>
        <v>0.08751759737</v>
      </c>
      <c r="H87" s="83">
        <f t="shared" si="95"/>
        <v>0.2401294498</v>
      </c>
      <c r="I87" s="83">
        <f t="shared" si="95"/>
        <v>-0.0577592206</v>
      </c>
      <c r="J87" s="73">
        <f>AVERAGE(C87:I87)</f>
        <v>0.1569930288</v>
      </c>
      <c r="K87" s="73">
        <v>0.15699302884965377</v>
      </c>
      <c r="L87" s="73">
        <v>0.15699302884965377</v>
      </c>
      <c r="M87" s="73">
        <v>0.15699302884965377</v>
      </c>
      <c r="N87" s="73">
        <v>0.15699302884965377</v>
      </c>
    </row>
    <row r="88" ht="15.75" customHeight="1">
      <c r="A88" s="82" t="s">
        <v>190</v>
      </c>
      <c r="B88" s="83" t="str">
        <f>+Historicals!B193</f>
        <v/>
      </c>
      <c r="C88" s="83">
        <f>+Historicals!C193</f>
        <v>0.2891865079</v>
      </c>
      <c r="D88" s="83">
        <f>+Historicals!D193</f>
        <v>0.1235090419</v>
      </c>
      <c r="E88" s="83">
        <f>+Historicals!E193</f>
        <v>0.197260274</v>
      </c>
      <c r="F88" s="83">
        <f>+Historicals!F193</f>
        <v>0.2191075515</v>
      </c>
      <c r="G88" s="83">
        <f>+Historicals!G193</f>
        <v>0.08751759737</v>
      </c>
      <c r="H88" s="83">
        <f>+Historicals!H193</f>
        <v>0.2401294498</v>
      </c>
      <c r="I88" s="83">
        <f>+Historicals!I193</f>
        <v>-0.1</v>
      </c>
      <c r="J88" s="73">
        <f>J87-J89</f>
        <v>0.1569930288</v>
      </c>
      <c r="K88" s="73">
        <v>0.15699302884965377</v>
      </c>
      <c r="L88" s="73">
        <v>0.15699302884965377</v>
      </c>
      <c r="M88" s="73">
        <v>0.15699302884965377</v>
      </c>
      <c r="N88" s="73">
        <v>0.15699302884965377</v>
      </c>
    </row>
    <row r="89" ht="15.75" customHeight="1">
      <c r="A89" s="82" t="s">
        <v>191</v>
      </c>
      <c r="B89" s="83" t="str">
        <f t="shared" ref="B89:I89" si="96">+IFERROR(B87-B88,"nm")</f>
        <v>nm</v>
      </c>
      <c r="C89" s="83">
        <f t="shared" si="96"/>
        <v>0</v>
      </c>
      <c r="D89" s="83">
        <f t="shared" si="96"/>
        <v>0</v>
      </c>
      <c r="E89" s="83">
        <f t="shared" si="96"/>
        <v>0</v>
      </c>
      <c r="F89" s="83">
        <f t="shared" si="96"/>
        <v>0</v>
      </c>
      <c r="G89" s="83">
        <f t="shared" si="96"/>
        <v>0</v>
      </c>
      <c r="H89" s="83">
        <f t="shared" si="96"/>
        <v>0</v>
      </c>
      <c r="I89" s="83">
        <f t="shared" si="96"/>
        <v>0.0422407794</v>
      </c>
      <c r="J89" s="73">
        <v>0.0</v>
      </c>
      <c r="K89" s="73">
        <v>0.0</v>
      </c>
      <c r="L89" s="73">
        <v>0.0</v>
      </c>
      <c r="M89" s="73">
        <v>0.0</v>
      </c>
      <c r="N89" s="73">
        <v>0.0</v>
      </c>
    </row>
    <row r="90" ht="15.75" customHeight="1">
      <c r="A90" s="84" t="s">
        <v>192</v>
      </c>
      <c r="B90" s="44">
        <f>+Historicals!B122</f>
        <v>925</v>
      </c>
      <c r="C90" s="44">
        <f>+Historicals!C122</f>
        <v>1055</v>
      </c>
      <c r="D90" s="44">
        <f>+Historicals!D122</f>
        <v>1188</v>
      </c>
      <c r="E90" s="44">
        <f>+Historicals!E122</f>
        <v>1508</v>
      </c>
      <c r="F90" s="44">
        <f>+Historicals!F122</f>
        <v>1808</v>
      </c>
      <c r="G90" s="44">
        <f>+Historicals!G122</f>
        <v>1896</v>
      </c>
      <c r="H90" s="44">
        <f>+Historicals!H122</f>
        <v>2347</v>
      </c>
      <c r="I90" s="44">
        <f>+Historicals!I122</f>
        <v>1938</v>
      </c>
      <c r="J90" s="23">
        <f t="shared" ref="J90:N90" si="97">I90*(1+J91)</f>
        <v>2172.548637</v>
      </c>
      <c r="K90" s="23">
        <f t="shared" si="97"/>
        <v>2435.483787</v>
      </c>
      <c r="L90" s="23">
        <f t="shared" si="97"/>
        <v>2730.24096</v>
      </c>
      <c r="M90" s="23">
        <f t="shared" si="97"/>
        <v>3060.671453</v>
      </c>
      <c r="N90" s="23">
        <f t="shared" si="97"/>
        <v>3431.092669</v>
      </c>
    </row>
    <row r="91" ht="15.75" customHeight="1">
      <c r="A91" s="82" t="s">
        <v>188</v>
      </c>
      <c r="B91" s="83" t="str">
        <f t="shared" ref="B91:I91" si="98">+IFERROR(B90/A90-1,"nm")</f>
        <v>nm</v>
      </c>
      <c r="C91" s="83">
        <f t="shared" si="98"/>
        <v>0.1405405405</v>
      </c>
      <c r="D91" s="83">
        <f t="shared" si="98"/>
        <v>0.1260663507</v>
      </c>
      <c r="E91" s="83">
        <f t="shared" si="98"/>
        <v>0.2693602694</v>
      </c>
      <c r="F91" s="83">
        <f t="shared" si="98"/>
        <v>0.198938992</v>
      </c>
      <c r="G91" s="83">
        <f t="shared" si="98"/>
        <v>0.04867256637</v>
      </c>
      <c r="H91" s="83">
        <f t="shared" si="98"/>
        <v>0.2378691983</v>
      </c>
      <c r="I91" s="83">
        <f t="shared" si="98"/>
        <v>-0.1742650192</v>
      </c>
      <c r="J91" s="73">
        <f>AVERAGE(C91:I91)</f>
        <v>0.1210261283</v>
      </c>
      <c r="K91" s="73">
        <v>0.12102612830923651</v>
      </c>
      <c r="L91" s="73">
        <v>0.12102612830923651</v>
      </c>
      <c r="M91" s="73">
        <v>0.12102612830923651</v>
      </c>
      <c r="N91" s="73">
        <v>0.12102612830923651</v>
      </c>
    </row>
    <row r="92" ht="15.75" customHeight="1">
      <c r="A92" s="82" t="s">
        <v>190</v>
      </c>
      <c r="B92" s="83" t="str">
        <f>+Historicals!B194</f>
        <v/>
      </c>
      <c r="C92" s="83">
        <f>+Historicals!C194</f>
        <v>0.1405405405</v>
      </c>
      <c r="D92" s="83">
        <f>+Historicals!D194</f>
        <v>0.1260663507</v>
      </c>
      <c r="E92" s="83">
        <f>+Historicals!E194</f>
        <v>0.2693602694</v>
      </c>
      <c r="F92" s="83">
        <f>+Historicals!F194</f>
        <v>0.198938992</v>
      </c>
      <c r="G92" s="83">
        <f>+Historicals!G194</f>
        <v>0.04867256637</v>
      </c>
      <c r="H92" s="83">
        <f>+Historicals!H194</f>
        <v>0.2378691983</v>
      </c>
      <c r="I92" s="83">
        <f>+Historicals!I194</f>
        <v>-0.21</v>
      </c>
      <c r="J92" s="73">
        <f>J91-J93</f>
        <v>0.1210261283</v>
      </c>
      <c r="K92" s="73">
        <v>0.12102612830923651</v>
      </c>
      <c r="L92" s="73">
        <v>0.12102612830923651</v>
      </c>
      <c r="M92" s="73">
        <v>0.12102612830923651</v>
      </c>
      <c r="N92" s="73">
        <v>0.12102612830923651</v>
      </c>
    </row>
    <row r="93" ht="15.75" customHeight="1">
      <c r="A93" s="82" t="s">
        <v>191</v>
      </c>
      <c r="B93" s="83" t="str">
        <f t="shared" ref="B93:I93" si="99">+IFERROR(B91-B92,"nm")</f>
        <v>nm</v>
      </c>
      <c r="C93" s="83">
        <f t="shared" si="99"/>
        <v>0</v>
      </c>
      <c r="D93" s="83">
        <f t="shared" si="99"/>
        <v>0</v>
      </c>
      <c r="E93" s="83">
        <f t="shared" si="99"/>
        <v>0</v>
      </c>
      <c r="F93" s="83">
        <f t="shared" si="99"/>
        <v>0</v>
      </c>
      <c r="G93" s="83">
        <f t="shared" si="99"/>
        <v>0</v>
      </c>
      <c r="H93" s="83">
        <f t="shared" si="99"/>
        <v>0</v>
      </c>
      <c r="I93" s="83">
        <f t="shared" si="99"/>
        <v>0.03573498083</v>
      </c>
      <c r="J93" s="73">
        <v>0.0</v>
      </c>
      <c r="K93" s="73">
        <v>0.0</v>
      </c>
      <c r="L93" s="73">
        <v>0.0</v>
      </c>
      <c r="M93" s="73">
        <v>0.0</v>
      </c>
      <c r="N93" s="73">
        <v>0.0</v>
      </c>
    </row>
    <row r="94" ht="15.75" customHeight="1">
      <c r="A94" s="84" t="s">
        <v>193</v>
      </c>
      <c r="B94" s="44">
        <f>+Historicals!B123</f>
        <v>126</v>
      </c>
      <c r="C94" s="44">
        <f>+Historicals!C123</f>
        <v>131</v>
      </c>
      <c r="D94" s="44">
        <f>+Historicals!D123</f>
        <v>129</v>
      </c>
      <c r="E94" s="44">
        <f>+Historicals!E123</f>
        <v>130</v>
      </c>
      <c r="F94" s="44">
        <f>+Historicals!F123</f>
        <v>138</v>
      </c>
      <c r="G94" s="44">
        <f>+Historicals!G123</f>
        <v>148</v>
      </c>
      <c r="H94" s="44">
        <f>+Historicals!H123</f>
        <v>195</v>
      </c>
      <c r="I94" s="44">
        <f>+Historicals!I123</f>
        <v>193</v>
      </c>
      <c r="J94" s="23">
        <f t="shared" ref="J94:N94" si="100">I94*(1+J95)</f>
        <v>206.054539</v>
      </c>
      <c r="K94" s="23">
        <f t="shared" si="100"/>
        <v>219.9920883</v>
      </c>
      <c r="L94" s="23">
        <f t="shared" si="100"/>
        <v>234.8723748</v>
      </c>
      <c r="M94" s="23">
        <f t="shared" si="100"/>
        <v>250.7591654</v>
      </c>
      <c r="N94" s="23">
        <f t="shared" si="100"/>
        <v>267.72054</v>
      </c>
    </row>
    <row r="95" ht="15.75" customHeight="1">
      <c r="A95" s="82" t="s">
        <v>188</v>
      </c>
      <c r="B95" s="83" t="str">
        <f t="shared" ref="B95:I95" si="101">+IFERROR(B94/A94-1,"nm")</f>
        <v>nm</v>
      </c>
      <c r="C95" s="83">
        <f t="shared" si="101"/>
        <v>0.03968253968</v>
      </c>
      <c r="D95" s="83">
        <f t="shared" si="101"/>
        <v>-0.01526717557</v>
      </c>
      <c r="E95" s="83">
        <f t="shared" si="101"/>
        <v>0.007751937984</v>
      </c>
      <c r="F95" s="83">
        <f t="shared" si="101"/>
        <v>0.06153846154</v>
      </c>
      <c r="G95" s="83">
        <f t="shared" si="101"/>
        <v>0.07246376812</v>
      </c>
      <c r="H95" s="83">
        <f t="shared" si="101"/>
        <v>0.3175675676</v>
      </c>
      <c r="I95" s="83">
        <f t="shared" si="101"/>
        <v>-0.01025641026</v>
      </c>
      <c r="J95" s="73">
        <f>AVERAGE(C95:I95)</f>
        <v>0.06764009844</v>
      </c>
      <c r="K95" s="73">
        <v>0.06764009843715398</v>
      </c>
      <c r="L95" s="73">
        <v>0.06764009843715398</v>
      </c>
      <c r="M95" s="73">
        <v>0.06764009843715398</v>
      </c>
      <c r="N95" s="73">
        <v>0.06764009843715398</v>
      </c>
    </row>
    <row r="96" ht="15.75" customHeight="1">
      <c r="A96" s="82" t="s">
        <v>190</v>
      </c>
      <c r="B96" s="83" t="str">
        <f>+Historicals!B195</f>
        <v/>
      </c>
      <c r="C96" s="83">
        <f>+Historicals!C195</f>
        <v>0.03968253968</v>
      </c>
      <c r="D96" s="83">
        <f>+Historicals!D195</f>
        <v>-0.01526717557</v>
      </c>
      <c r="E96" s="83">
        <f>+Historicals!E195</f>
        <v>0.007751937984</v>
      </c>
      <c r="F96" s="83">
        <f>+Historicals!F195</f>
        <v>0.06153846154</v>
      </c>
      <c r="G96" s="83">
        <f>+Historicals!G195</f>
        <v>0.07246376812</v>
      </c>
      <c r="H96" s="83">
        <f>+Historicals!H195</f>
        <v>0.3175675676</v>
      </c>
      <c r="I96" s="83">
        <f>+Historicals!I195</f>
        <v>-0.06</v>
      </c>
      <c r="J96" s="73">
        <f>J95-J97</f>
        <v>0.06764009844</v>
      </c>
      <c r="K96" s="73">
        <v>0.06764009843715398</v>
      </c>
      <c r="L96" s="73">
        <v>0.06764009843715398</v>
      </c>
      <c r="M96" s="73">
        <v>0.06764009843715398</v>
      </c>
      <c r="N96" s="73">
        <v>0.06764009843715398</v>
      </c>
    </row>
    <row r="97" ht="15.75" customHeight="1">
      <c r="A97" s="82" t="s">
        <v>191</v>
      </c>
      <c r="B97" s="83" t="str">
        <f t="shared" ref="B97:I97" si="102">+IFERROR(B95-B96,"nm")</f>
        <v>nm</v>
      </c>
      <c r="C97" s="83">
        <f t="shared" si="102"/>
        <v>0</v>
      </c>
      <c r="D97" s="83">
        <f t="shared" si="102"/>
        <v>0</v>
      </c>
      <c r="E97" s="83">
        <f t="shared" si="102"/>
        <v>0</v>
      </c>
      <c r="F97" s="83">
        <f t="shared" si="102"/>
        <v>0</v>
      </c>
      <c r="G97" s="83">
        <f t="shared" si="102"/>
        <v>0</v>
      </c>
      <c r="H97" s="83">
        <f t="shared" si="102"/>
        <v>0</v>
      </c>
      <c r="I97" s="83">
        <f t="shared" si="102"/>
        <v>0.04974358974</v>
      </c>
      <c r="J97" s="73">
        <v>0.0</v>
      </c>
      <c r="K97" s="73">
        <v>0.0</v>
      </c>
      <c r="L97" s="73">
        <v>0.0</v>
      </c>
      <c r="M97" s="73">
        <v>0.0</v>
      </c>
      <c r="N97" s="73">
        <v>0.0</v>
      </c>
    </row>
    <row r="98" ht="15.75" customHeight="1">
      <c r="A98" s="81" t="s">
        <v>194</v>
      </c>
      <c r="B98" s="81">
        <f t="shared" ref="B98:N98" si="103">+B105+B101</f>
        <v>1039</v>
      </c>
      <c r="C98" s="81">
        <f t="shared" si="103"/>
        <v>1420</v>
      </c>
      <c r="D98" s="81">
        <f t="shared" si="103"/>
        <v>1561</v>
      </c>
      <c r="E98" s="81">
        <f t="shared" si="103"/>
        <v>1863</v>
      </c>
      <c r="F98" s="81">
        <f t="shared" si="103"/>
        <v>2426</v>
      </c>
      <c r="G98" s="81">
        <f t="shared" si="103"/>
        <v>2534</v>
      </c>
      <c r="H98" s="81">
        <f t="shared" si="103"/>
        <v>3289</v>
      </c>
      <c r="I98" s="81">
        <f t="shared" si="103"/>
        <v>2406</v>
      </c>
      <c r="J98" s="28">
        <f t="shared" si="103"/>
        <v>3199.996828</v>
      </c>
      <c r="K98" s="28">
        <f t="shared" si="103"/>
        <v>3666.634449</v>
      </c>
      <c r="L98" s="28">
        <f t="shared" si="103"/>
        <v>4202.569341</v>
      </c>
      <c r="M98" s="28">
        <f t="shared" si="103"/>
        <v>4818.225846</v>
      </c>
      <c r="N98" s="28">
        <f t="shared" si="103"/>
        <v>5525.611474</v>
      </c>
      <c r="O98" s="79"/>
      <c r="P98" s="79"/>
      <c r="Q98" s="79"/>
      <c r="R98" s="79"/>
      <c r="S98" s="79"/>
      <c r="T98" s="79"/>
      <c r="U98" s="79"/>
      <c r="V98" s="79"/>
      <c r="W98" s="79"/>
      <c r="X98" s="79"/>
      <c r="Y98" s="79"/>
      <c r="Z98" s="79"/>
    </row>
    <row r="99" ht="15.75" customHeight="1">
      <c r="A99" s="82" t="s">
        <v>188</v>
      </c>
      <c r="B99" s="83" t="str">
        <f t="shared" ref="B99:N99" si="104">+IFERROR(B98/A98-1,"nm")</f>
        <v>nm</v>
      </c>
      <c r="C99" s="83">
        <f t="shared" si="104"/>
        <v>0.3666987488</v>
      </c>
      <c r="D99" s="83">
        <f t="shared" si="104"/>
        <v>0.09929577465</v>
      </c>
      <c r="E99" s="83">
        <f t="shared" si="104"/>
        <v>0.1934657271</v>
      </c>
      <c r="F99" s="83">
        <f t="shared" si="104"/>
        <v>0.3022007515</v>
      </c>
      <c r="G99" s="83">
        <f t="shared" si="104"/>
        <v>0.04451772465</v>
      </c>
      <c r="H99" s="83">
        <f t="shared" si="104"/>
        <v>0.2979479084</v>
      </c>
      <c r="I99" s="83">
        <f t="shared" si="104"/>
        <v>-0.2684706598</v>
      </c>
      <c r="J99" s="73">
        <f t="shared" si="104"/>
        <v>0.3300069942</v>
      </c>
      <c r="K99" s="73">
        <f t="shared" si="104"/>
        <v>0.1458244011</v>
      </c>
      <c r="L99" s="73">
        <f t="shared" si="104"/>
        <v>0.1461653456</v>
      </c>
      <c r="M99" s="73">
        <f t="shared" si="104"/>
        <v>0.146495264</v>
      </c>
      <c r="N99" s="73">
        <f t="shared" si="104"/>
        <v>0.1468145435</v>
      </c>
    </row>
    <row r="100" ht="15.75" customHeight="1">
      <c r="A100" s="82" t="s">
        <v>195</v>
      </c>
      <c r="B100" s="83">
        <f t="shared" ref="B100:I100" si="105">+IFERROR(B98/B$84,"nm")</f>
        <v>0.3387675253</v>
      </c>
      <c r="C100" s="83">
        <f t="shared" si="105"/>
        <v>0.3751651255</v>
      </c>
      <c r="D100" s="83">
        <f t="shared" si="105"/>
        <v>0.3684210526</v>
      </c>
      <c r="E100" s="83">
        <f t="shared" si="105"/>
        <v>0.3628749513</v>
      </c>
      <c r="F100" s="83">
        <f t="shared" si="105"/>
        <v>0.3907860825</v>
      </c>
      <c r="G100" s="83">
        <f t="shared" si="105"/>
        <v>0.3793981135</v>
      </c>
      <c r="H100" s="83">
        <f t="shared" si="105"/>
        <v>0.3967430639</v>
      </c>
      <c r="I100" s="83">
        <f t="shared" si="105"/>
        <v>0.318802173</v>
      </c>
      <c r="J100" s="73">
        <f>AVERAGE(C100:I100)</f>
        <v>0.3703129375</v>
      </c>
      <c r="K100" s="73">
        <v>0.2153871544698304</v>
      </c>
      <c r="L100" s="73">
        <v>0.2153871544698304</v>
      </c>
      <c r="M100" s="73">
        <v>0.2153871544698304</v>
      </c>
      <c r="N100" s="73">
        <v>0.2153871544698304</v>
      </c>
    </row>
    <row r="101" ht="15.75" customHeight="1">
      <c r="A101" s="81" t="s">
        <v>196</v>
      </c>
      <c r="B101" s="81">
        <f>+Historicals!B174</f>
        <v>46</v>
      </c>
      <c r="C101" s="81">
        <f>+Historicals!C174</f>
        <v>48</v>
      </c>
      <c r="D101" s="81">
        <f>+Historicals!D174</f>
        <v>54</v>
      </c>
      <c r="E101" s="81">
        <f>+Historicals!E174</f>
        <v>56</v>
      </c>
      <c r="F101" s="81">
        <f>+Historicals!F174</f>
        <v>50</v>
      </c>
      <c r="G101" s="81">
        <f>+Historicals!G174</f>
        <v>44</v>
      </c>
      <c r="H101" s="81">
        <f>+Historicals!H174</f>
        <v>46</v>
      </c>
      <c r="I101" s="81">
        <f>+Historicals!I174</f>
        <v>41</v>
      </c>
      <c r="J101" s="23">
        <f t="shared" ref="J101:N101" si="106">J104*J111</f>
        <v>75.20341717</v>
      </c>
      <c r="K101" s="23">
        <f t="shared" si="106"/>
        <v>86.16991044</v>
      </c>
      <c r="L101" s="23">
        <f t="shared" si="106"/>
        <v>98.76496518</v>
      </c>
      <c r="M101" s="23">
        <f t="shared" si="106"/>
        <v>113.2335648</v>
      </c>
      <c r="N101" s="23">
        <f t="shared" si="106"/>
        <v>129.857899</v>
      </c>
    </row>
    <row r="102" ht="15.75" customHeight="1">
      <c r="A102" s="82" t="s">
        <v>188</v>
      </c>
      <c r="B102" s="83" t="str">
        <f t="shared" ref="B102:N102" si="107">+IFERROR(B101/A101-1,"nm")</f>
        <v>nm</v>
      </c>
      <c r="C102" s="83">
        <f t="shared" si="107"/>
        <v>0.04347826087</v>
      </c>
      <c r="D102" s="83">
        <f t="shared" si="107"/>
        <v>0.125</v>
      </c>
      <c r="E102" s="83">
        <f t="shared" si="107"/>
        <v>0.03703703704</v>
      </c>
      <c r="F102" s="83">
        <f t="shared" si="107"/>
        <v>-0.1071428571</v>
      </c>
      <c r="G102" s="83">
        <f t="shared" si="107"/>
        <v>-0.12</v>
      </c>
      <c r="H102" s="83">
        <f t="shared" si="107"/>
        <v>0.04545454545</v>
      </c>
      <c r="I102" s="83">
        <f t="shared" si="107"/>
        <v>-0.1086956522</v>
      </c>
      <c r="J102" s="73">
        <f t="shared" si="107"/>
        <v>0.8342296871</v>
      </c>
      <c r="K102" s="73">
        <f t="shared" si="107"/>
        <v>0.1458244011</v>
      </c>
      <c r="L102" s="73">
        <f t="shared" si="107"/>
        <v>0.1461653456</v>
      </c>
      <c r="M102" s="73">
        <f t="shared" si="107"/>
        <v>0.146495264</v>
      </c>
      <c r="N102" s="73">
        <f t="shared" si="107"/>
        <v>0.1468145435</v>
      </c>
    </row>
    <row r="103" ht="15.75" customHeight="1">
      <c r="A103" s="82" t="s">
        <v>197</v>
      </c>
      <c r="B103" s="83">
        <f t="shared" ref="B103:N103" si="108">+IFERROR(B101/B$84,"nm")</f>
        <v>0.01499836974</v>
      </c>
      <c r="C103" s="83">
        <f t="shared" si="108"/>
        <v>0.01268163804</v>
      </c>
      <c r="D103" s="83">
        <f t="shared" si="108"/>
        <v>0.01274486665</v>
      </c>
      <c r="E103" s="83">
        <f t="shared" si="108"/>
        <v>0.01090767433</v>
      </c>
      <c r="F103" s="83">
        <f t="shared" si="108"/>
        <v>0.008054123711</v>
      </c>
      <c r="G103" s="83">
        <f t="shared" si="108"/>
        <v>0.006587812547</v>
      </c>
      <c r="H103" s="83">
        <f t="shared" si="108"/>
        <v>0.005548854041</v>
      </c>
      <c r="I103" s="83">
        <f t="shared" si="108"/>
        <v>0.005432622234</v>
      </c>
      <c r="J103" s="83">
        <f t="shared" si="108"/>
        <v>0.008699188377</v>
      </c>
      <c r="K103" s="83">
        <f t="shared" si="108"/>
        <v>0.008699188377</v>
      </c>
      <c r="L103" s="83">
        <f t="shared" si="108"/>
        <v>0.008699188377</v>
      </c>
      <c r="M103" s="83">
        <f t="shared" si="108"/>
        <v>0.008699188377</v>
      </c>
      <c r="N103" s="83">
        <f t="shared" si="108"/>
        <v>0.008699188377</v>
      </c>
    </row>
    <row r="104" ht="15.75" customHeight="1">
      <c r="A104" s="82" t="s">
        <v>180</v>
      </c>
      <c r="B104" s="83">
        <f t="shared" ref="B104:I104" si="109">+IFERROR(B101/B111,"nm")</f>
        <v>0.1811023622</v>
      </c>
      <c r="C104" s="83">
        <f t="shared" si="109"/>
        <v>0.2051282051</v>
      </c>
      <c r="D104" s="83">
        <f t="shared" si="109"/>
        <v>0.24</v>
      </c>
      <c r="E104" s="83">
        <f t="shared" si="109"/>
        <v>0.21875</v>
      </c>
      <c r="F104" s="83">
        <f t="shared" si="109"/>
        <v>0.2109704641</v>
      </c>
      <c r="G104" s="83">
        <f t="shared" si="109"/>
        <v>0.2056074766</v>
      </c>
      <c r="H104" s="83">
        <f t="shared" si="109"/>
        <v>0.1597222222</v>
      </c>
      <c r="I104" s="83">
        <f t="shared" si="109"/>
        <v>0.1353135314</v>
      </c>
      <c r="J104" s="73">
        <f>AVERAGE(C104:I104)</f>
        <v>0.1964988428</v>
      </c>
      <c r="K104" s="73">
        <v>0.19649884278201396</v>
      </c>
      <c r="L104" s="73">
        <v>0.19649884278201396</v>
      </c>
      <c r="M104" s="73">
        <v>0.19649884278201396</v>
      </c>
      <c r="N104" s="73">
        <v>0.19649884278201396</v>
      </c>
    </row>
    <row r="105" ht="15.75" customHeight="1">
      <c r="A105" s="81" t="s">
        <v>198</v>
      </c>
      <c r="B105" s="81">
        <f>+Historicals!B141</f>
        <v>993</v>
      </c>
      <c r="C105" s="81">
        <f>+Historicals!C141</f>
        <v>1372</v>
      </c>
      <c r="D105" s="81">
        <f>+Historicals!D141</f>
        <v>1507</v>
      </c>
      <c r="E105" s="81">
        <f>+Historicals!E141</f>
        <v>1807</v>
      </c>
      <c r="F105" s="81">
        <f>+Historicals!F141</f>
        <v>2376</v>
      </c>
      <c r="G105" s="81">
        <f>+Historicals!G141</f>
        <v>2490</v>
      </c>
      <c r="H105" s="81">
        <f>+Historicals!H141</f>
        <v>3243</v>
      </c>
      <c r="I105" s="81">
        <f>+Historicals!I141</f>
        <v>2365</v>
      </c>
      <c r="J105" s="28">
        <f t="shared" ref="J105:N105" si="110">J84*J107</f>
        <v>3124.793411</v>
      </c>
      <c r="K105" s="28">
        <f t="shared" si="110"/>
        <v>3580.464539</v>
      </c>
      <c r="L105" s="28">
        <f t="shared" si="110"/>
        <v>4103.804375</v>
      </c>
      <c r="M105" s="28">
        <f t="shared" si="110"/>
        <v>4704.992281</v>
      </c>
      <c r="N105" s="28">
        <f t="shared" si="110"/>
        <v>5395.753575</v>
      </c>
      <c r="O105" s="79"/>
      <c r="P105" s="79"/>
      <c r="Q105" s="79"/>
      <c r="R105" s="79"/>
      <c r="S105" s="79"/>
      <c r="T105" s="79"/>
      <c r="U105" s="79"/>
      <c r="V105" s="79"/>
      <c r="W105" s="79"/>
      <c r="X105" s="79"/>
      <c r="Y105" s="79"/>
      <c r="Z105" s="79"/>
    </row>
    <row r="106" ht="15.75" customHeight="1">
      <c r="A106" s="82" t="s">
        <v>188</v>
      </c>
      <c r="B106" s="83" t="str">
        <f t="shared" ref="B106:N106" si="111">+IFERROR(B105/A105-1,"nm")</f>
        <v>nm</v>
      </c>
      <c r="C106" s="83">
        <f t="shared" si="111"/>
        <v>0.3816717019</v>
      </c>
      <c r="D106" s="83">
        <f t="shared" si="111"/>
        <v>0.09839650146</v>
      </c>
      <c r="E106" s="83">
        <f t="shared" si="111"/>
        <v>0.199071002</v>
      </c>
      <c r="F106" s="83">
        <f t="shared" si="111"/>
        <v>0.3148865523</v>
      </c>
      <c r="G106" s="83">
        <f t="shared" si="111"/>
        <v>0.04797979798</v>
      </c>
      <c r="H106" s="83">
        <f t="shared" si="111"/>
        <v>0.3024096386</v>
      </c>
      <c r="I106" s="83">
        <f t="shared" si="111"/>
        <v>-0.2707369719</v>
      </c>
      <c r="J106" s="73">
        <f t="shared" si="111"/>
        <v>0.3212657129</v>
      </c>
      <c r="K106" s="73">
        <f t="shared" si="111"/>
        <v>0.1458244011</v>
      </c>
      <c r="L106" s="73">
        <f t="shared" si="111"/>
        <v>0.1461653456</v>
      </c>
      <c r="M106" s="73">
        <f t="shared" si="111"/>
        <v>0.146495264</v>
      </c>
      <c r="N106" s="73">
        <f t="shared" si="111"/>
        <v>0.1468145435</v>
      </c>
    </row>
    <row r="107" ht="15.75" customHeight="1">
      <c r="A107" s="82" t="s">
        <v>195</v>
      </c>
      <c r="B107" s="83">
        <f t="shared" ref="B107:I107" si="112">+IFERROR(B105/B$84,"nm")</f>
        <v>0.3237691555</v>
      </c>
      <c r="C107" s="83">
        <f t="shared" si="112"/>
        <v>0.3624834875</v>
      </c>
      <c r="D107" s="83">
        <f t="shared" si="112"/>
        <v>0.355676186</v>
      </c>
      <c r="E107" s="83">
        <f t="shared" si="112"/>
        <v>0.351967277</v>
      </c>
      <c r="F107" s="83">
        <f t="shared" si="112"/>
        <v>0.3827319588</v>
      </c>
      <c r="G107" s="83">
        <f t="shared" si="112"/>
        <v>0.3728103009</v>
      </c>
      <c r="H107" s="83">
        <f t="shared" si="112"/>
        <v>0.3911942099</v>
      </c>
      <c r="I107" s="83">
        <f t="shared" si="112"/>
        <v>0.3133695508</v>
      </c>
      <c r="J107" s="73">
        <f>AVERAGE(C107:I107)</f>
        <v>0.361461853</v>
      </c>
      <c r="K107" s="73">
        <v>0.3614618529743708</v>
      </c>
      <c r="L107" s="73">
        <v>0.3614618529743708</v>
      </c>
      <c r="M107" s="73">
        <v>0.3614618529743708</v>
      </c>
      <c r="N107" s="73">
        <v>0.3614618529743708</v>
      </c>
    </row>
    <row r="108" ht="15.75" customHeight="1">
      <c r="A108" s="81" t="s">
        <v>199</v>
      </c>
      <c r="B108" s="81">
        <f>+Historicals!B163</f>
        <v>69</v>
      </c>
      <c r="C108" s="81">
        <f>+Historicals!C163</f>
        <v>44</v>
      </c>
      <c r="D108" s="81">
        <f>+Historicals!D163</f>
        <v>51</v>
      </c>
      <c r="E108" s="81">
        <f>+Historicals!E163</f>
        <v>76</v>
      </c>
      <c r="F108" s="81">
        <f>+Historicals!F163</f>
        <v>49</v>
      </c>
      <c r="G108" s="81">
        <f>+Historicals!G163</f>
        <v>28</v>
      </c>
      <c r="H108" s="81">
        <f>+Historicals!H163</f>
        <v>94</v>
      </c>
      <c r="I108" s="81">
        <f>+Historicals!I163</f>
        <v>78</v>
      </c>
      <c r="J108" s="28">
        <f t="shared" ref="J108:N108" si="113">J84*J110</f>
        <v>89.19587717</v>
      </c>
      <c r="K108" s="28">
        <f t="shared" si="113"/>
        <v>102.2028125</v>
      </c>
      <c r="L108" s="28">
        <f t="shared" si="113"/>
        <v>117.141322</v>
      </c>
      <c r="M108" s="28">
        <f t="shared" si="113"/>
        <v>134.3019708</v>
      </c>
      <c r="N108" s="28">
        <f t="shared" si="113"/>
        <v>154.0194534</v>
      </c>
      <c r="O108" s="79"/>
      <c r="P108" s="79"/>
      <c r="Q108" s="79"/>
      <c r="R108" s="79"/>
      <c r="S108" s="79"/>
      <c r="T108" s="79"/>
      <c r="U108" s="79"/>
      <c r="V108" s="79"/>
      <c r="W108" s="79"/>
      <c r="X108" s="79"/>
      <c r="Y108" s="79"/>
      <c r="Z108" s="79"/>
    </row>
    <row r="109" ht="15.75" customHeight="1">
      <c r="A109" s="82" t="s">
        <v>188</v>
      </c>
      <c r="B109" s="83" t="str">
        <f t="shared" ref="B109:I109" si="114">+IFERROR(B108/A108-1,"nm")</f>
        <v>nm</v>
      </c>
      <c r="C109" s="83">
        <f t="shared" si="114"/>
        <v>-0.3623188406</v>
      </c>
      <c r="D109" s="83">
        <f t="shared" si="114"/>
        <v>0.1590909091</v>
      </c>
      <c r="E109" s="83">
        <f t="shared" si="114"/>
        <v>0.4901960784</v>
      </c>
      <c r="F109" s="83">
        <f t="shared" si="114"/>
        <v>-0.3552631579</v>
      </c>
      <c r="G109" s="83">
        <f t="shared" si="114"/>
        <v>-0.4285714286</v>
      </c>
      <c r="H109" s="83">
        <f t="shared" si="114"/>
        <v>2.357142857</v>
      </c>
      <c r="I109" s="83">
        <f t="shared" si="114"/>
        <v>-0.170212766</v>
      </c>
      <c r="J109" s="73">
        <f t="shared" ref="J109:N109" si="115">(J108-I108)/I108</f>
        <v>0.1435368868</v>
      </c>
      <c r="K109" s="73">
        <f t="shared" si="115"/>
        <v>0.1458244011</v>
      </c>
      <c r="L109" s="73">
        <f t="shared" si="115"/>
        <v>0.1461653456</v>
      </c>
      <c r="M109" s="73">
        <f t="shared" si="115"/>
        <v>0.146495264</v>
      </c>
      <c r="N109" s="73">
        <f t="shared" si="115"/>
        <v>0.1468145435</v>
      </c>
    </row>
    <row r="110" ht="15.75" customHeight="1">
      <c r="A110" s="82" t="s">
        <v>197</v>
      </c>
      <c r="B110" s="83">
        <f t="shared" ref="B110:I110" si="116">+IFERROR(B108/B$84,"nm")</f>
        <v>0.02249755461</v>
      </c>
      <c r="C110" s="83">
        <f t="shared" si="116"/>
        <v>0.01162483487</v>
      </c>
      <c r="D110" s="83">
        <f t="shared" si="116"/>
        <v>0.0120368185</v>
      </c>
      <c r="E110" s="83">
        <f t="shared" si="116"/>
        <v>0.0148032723</v>
      </c>
      <c r="F110" s="83">
        <f t="shared" si="116"/>
        <v>0.007893041237</v>
      </c>
      <c r="G110" s="83">
        <f t="shared" si="116"/>
        <v>0.004192244348</v>
      </c>
      <c r="H110" s="83">
        <f t="shared" si="116"/>
        <v>0.01133896261</v>
      </c>
      <c r="I110" s="83">
        <f t="shared" si="116"/>
        <v>0.01033523254</v>
      </c>
      <c r="J110" s="73">
        <f>AVERAGE(C110:I110)</f>
        <v>0.01031777234</v>
      </c>
      <c r="K110" s="73">
        <v>0.010317772344830289</v>
      </c>
      <c r="L110" s="73">
        <v>0.010317772344830289</v>
      </c>
      <c r="M110" s="73">
        <v>0.010317772344830289</v>
      </c>
      <c r="N110" s="73">
        <v>0.010317772344830289</v>
      </c>
    </row>
    <row r="111" ht="15.75" customHeight="1">
      <c r="A111" s="28" t="s">
        <v>183</v>
      </c>
      <c r="B111" s="28">
        <f>+Historicals!B152</f>
        <v>254</v>
      </c>
      <c r="C111" s="28">
        <f>+Historicals!C152</f>
        <v>234</v>
      </c>
      <c r="D111" s="28">
        <f>+Historicals!D152</f>
        <v>225</v>
      </c>
      <c r="E111" s="28">
        <f>+Historicals!E152</f>
        <v>256</v>
      </c>
      <c r="F111" s="28">
        <f>+Historicals!F152</f>
        <v>237</v>
      </c>
      <c r="G111" s="28">
        <f>+Historicals!G152</f>
        <v>214</v>
      </c>
      <c r="H111" s="80">
        <f>+Historicals!H152</f>
        <v>288</v>
      </c>
      <c r="I111" s="80">
        <f>+Historicals!I152</f>
        <v>303</v>
      </c>
      <c r="J111" s="28">
        <f t="shared" ref="J111:N111" si="117">J84*J113</f>
        <v>382.7168451</v>
      </c>
      <c r="K111" s="28">
        <f t="shared" si="117"/>
        <v>438.5262998</v>
      </c>
      <c r="L111" s="28">
        <f t="shared" si="117"/>
        <v>502.623648</v>
      </c>
      <c r="M111" s="28">
        <f t="shared" si="117"/>
        <v>576.255632</v>
      </c>
      <c r="N111" s="28">
        <f t="shared" si="117"/>
        <v>660.8583396</v>
      </c>
      <c r="O111" s="79"/>
      <c r="P111" s="79"/>
      <c r="Q111" s="79"/>
      <c r="R111" s="79"/>
      <c r="S111" s="79"/>
      <c r="T111" s="79"/>
      <c r="U111" s="79"/>
      <c r="V111" s="79"/>
      <c r="W111" s="79"/>
      <c r="X111" s="79"/>
      <c r="Y111" s="79"/>
      <c r="Z111" s="79"/>
    </row>
    <row r="112" ht="15.75" customHeight="1">
      <c r="A112" s="65" t="s">
        <v>138</v>
      </c>
      <c r="B112" s="75" t="str">
        <f t="shared" ref="B112:N112" si="118">+IFERROR(B111/A111-1,"nm")</f>
        <v>nm</v>
      </c>
      <c r="C112" s="75">
        <f t="shared" si="118"/>
        <v>-0.07874015748</v>
      </c>
      <c r="D112" s="75">
        <f t="shared" si="118"/>
        <v>-0.03846153846</v>
      </c>
      <c r="E112" s="75">
        <f t="shared" si="118"/>
        <v>0.1377777778</v>
      </c>
      <c r="F112" s="75">
        <f t="shared" si="118"/>
        <v>-0.07421875</v>
      </c>
      <c r="G112" s="75">
        <f t="shared" si="118"/>
        <v>-0.0970464135</v>
      </c>
      <c r="H112" s="75">
        <f t="shared" si="118"/>
        <v>0.3457943925</v>
      </c>
      <c r="I112" s="75">
        <f t="shared" si="118"/>
        <v>0.05208333333</v>
      </c>
      <c r="J112" s="73">
        <f t="shared" si="118"/>
        <v>0.2630918979</v>
      </c>
      <c r="K112" s="73">
        <f t="shared" si="118"/>
        <v>0.1458244011</v>
      </c>
      <c r="L112" s="73">
        <f t="shared" si="118"/>
        <v>0.1461653456</v>
      </c>
      <c r="M112" s="73">
        <f t="shared" si="118"/>
        <v>0.146495264</v>
      </c>
      <c r="N112" s="73">
        <f t="shared" si="118"/>
        <v>0.1468145435</v>
      </c>
    </row>
    <row r="113" ht="15.75" customHeight="1">
      <c r="A113" s="65" t="s">
        <v>179</v>
      </c>
      <c r="B113" s="75">
        <f t="shared" ref="B113:I113" si="119">+IFERROR(B111/B$84,"nm")</f>
        <v>0.0828170851</v>
      </c>
      <c r="C113" s="75">
        <f t="shared" si="119"/>
        <v>0.06182298547</v>
      </c>
      <c r="D113" s="75">
        <f t="shared" si="119"/>
        <v>0.05310361105</v>
      </c>
      <c r="E113" s="75">
        <f t="shared" si="119"/>
        <v>0.04986365407</v>
      </c>
      <c r="F113" s="75">
        <f t="shared" si="119"/>
        <v>0.03817654639</v>
      </c>
      <c r="G113" s="75">
        <f t="shared" si="119"/>
        <v>0.03204072466</v>
      </c>
      <c r="H113" s="75">
        <f t="shared" si="119"/>
        <v>0.03474065139</v>
      </c>
      <c r="I113" s="75">
        <f t="shared" si="119"/>
        <v>0.04014840334</v>
      </c>
      <c r="J113" s="73">
        <f>AVERAGE(C113:I113)</f>
        <v>0.04427093948</v>
      </c>
      <c r="K113" s="73">
        <v>0.04427093948040411</v>
      </c>
      <c r="L113" s="73">
        <v>0.04427093948040411</v>
      </c>
      <c r="M113" s="73">
        <v>0.04427093948040411</v>
      </c>
      <c r="N113" s="73">
        <v>0.04427093948040411</v>
      </c>
    </row>
    <row r="114" ht="15.75" customHeight="1">
      <c r="A114" s="79" t="str">
        <f>+Historicals!A124</f>
        <v>Asia Pacific &amp; Latin America</v>
      </c>
    </row>
    <row r="115" ht="15.75" customHeight="1">
      <c r="A115" s="81" t="s">
        <v>187</v>
      </c>
      <c r="B115" s="81"/>
      <c r="C115" s="81"/>
      <c r="D115" s="81"/>
      <c r="E115" s="81">
        <f t="shared" ref="E115:N115" si="120">E117+E121+E125</f>
        <v>5166</v>
      </c>
      <c r="F115" s="81">
        <f t="shared" si="120"/>
        <v>5254</v>
      </c>
      <c r="G115" s="81">
        <f t="shared" si="120"/>
        <v>5028</v>
      </c>
      <c r="H115" s="81">
        <f t="shared" si="120"/>
        <v>5343</v>
      </c>
      <c r="I115" s="81">
        <f t="shared" si="120"/>
        <v>5955</v>
      </c>
      <c r="J115" s="23">
        <f t="shared" si="120"/>
        <v>6183.566741</v>
      </c>
      <c r="K115" s="23">
        <f t="shared" si="120"/>
        <v>6421.391527</v>
      </c>
      <c r="L115" s="23">
        <f t="shared" si="120"/>
        <v>6668.852892</v>
      </c>
      <c r="M115" s="23">
        <f t="shared" si="120"/>
        <v>6926.345033</v>
      </c>
      <c r="N115" s="23">
        <f t="shared" si="120"/>
        <v>7194.278458</v>
      </c>
    </row>
    <row r="116" ht="15.75" customHeight="1">
      <c r="A116" s="82" t="s">
        <v>188</v>
      </c>
      <c r="B116" s="83"/>
      <c r="C116" s="83"/>
      <c r="D116" s="83"/>
      <c r="E116" s="83" t="str">
        <f t="shared" ref="E116:N116" si="121">+IFERROR(E115/D115-1,"nm")</f>
        <v>nm</v>
      </c>
      <c r="F116" s="83">
        <f t="shared" si="121"/>
        <v>0.01703445606</v>
      </c>
      <c r="G116" s="83">
        <f t="shared" si="121"/>
        <v>-0.04301484583</v>
      </c>
      <c r="H116" s="83">
        <f t="shared" si="121"/>
        <v>0.06264916468</v>
      </c>
      <c r="I116" s="83">
        <f t="shared" si="121"/>
        <v>0.1145423919</v>
      </c>
      <c r="J116" s="73">
        <f t="shared" si="121"/>
        <v>0.03838232433</v>
      </c>
      <c r="K116" s="73">
        <f t="shared" si="121"/>
        <v>0.03846077762</v>
      </c>
      <c r="L116" s="73">
        <f t="shared" si="121"/>
        <v>0.03853703115</v>
      </c>
      <c r="M116" s="73">
        <f t="shared" si="121"/>
        <v>0.03861115917</v>
      </c>
      <c r="N116" s="73">
        <f t="shared" si="121"/>
        <v>0.038683234</v>
      </c>
    </row>
    <row r="117" ht="15.75" customHeight="1">
      <c r="A117" s="84" t="s">
        <v>189</v>
      </c>
      <c r="B117" s="44"/>
      <c r="C117" s="44"/>
      <c r="D117" s="44"/>
      <c r="E117" s="44">
        <f>+Historicals!E125</f>
        <v>3575</v>
      </c>
      <c r="F117" s="44">
        <f>+Historicals!F125</f>
        <v>3622</v>
      </c>
      <c r="G117" s="44">
        <f>+Historicals!G125</f>
        <v>3449</v>
      </c>
      <c r="H117" s="44">
        <f>+Historicals!H125</f>
        <v>3659</v>
      </c>
      <c r="I117" s="44">
        <f>+Historicals!I125</f>
        <v>4111</v>
      </c>
      <c r="J117" s="23">
        <f t="shared" ref="J117:N117" si="122">I117*(1+J118)</f>
        <v>4264.958409</v>
      </c>
      <c r="K117" s="23">
        <f t="shared" si="122"/>
        <v>4424.682615</v>
      </c>
      <c r="L117" s="23">
        <f t="shared" si="122"/>
        <v>4590.38855</v>
      </c>
      <c r="M117" s="23">
        <f t="shared" si="122"/>
        <v>4762.30023</v>
      </c>
      <c r="N117" s="23">
        <f t="shared" si="122"/>
        <v>4940.650064</v>
      </c>
    </row>
    <row r="118" ht="15.75" customHeight="1">
      <c r="A118" s="82" t="s">
        <v>188</v>
      </c>
      <c r="B118" s="83"/>
      <c r="C118" s="83"/>
      <c r="D118" s="83"/>
      <c r="E118" s="83" t="str">
        <f t="shared" ref="E118:I118" si="123">+IFERROR(E117/D117-1,"nm")</f>
        <v>nm</v>
      </c>
      <c r="F118" s="83">
        <f t="shared" si="123"/>
        <v>0.01314685315</v>
      </c>
      <c r="G118" s="83">
        <f t="shared" si="123"/>
        <v>-0.04776366648</v>
      </c>
      <c r="H118" s="83">
        <f t="shared" si="123"/>
        <v>0.06088721369</v>
      </c>
      <c r="I118" s="83">
        <f t="shared" si="123"/>
        <v>0.1235310194</v>
      </c>
      <c r="J118" s="73">
        <f>AVERAGE(C118:I118)</f>
        <v>0.03745035494</v>
      </c>
      <c r="K118" s="73">
        <v>0.03745035493839541</v>
      </c>
      <c r="L118" s="73">
        <v>0.03745035493839541</v>
      </c>
      <c r="M118" s="73">
        <v>0.03745035493839541</v>
      </c>
      <c r="N118" s="73">
        <v>0.03745035493839541</v>
      </c>
    </row>
    <row r="119" ht="15.75" customHeight="1">
      <c r="A119" s="82" t="s">
        <v>190</v>
      </c>
      <c r="B119" s="83"/>
      <c r="C119" s="83"/>
      <c r="D119" s="83"/>
      <c r="E119" s="83">
        <f>+Historicals!E197</f>
        <v>0.08828006088</v>
      </c>
      <c r="F119" s="83">
        <f>+Historicals!F197</f>
        <v>0.01314685315</v>
      </c>
      <c r="G119" s="83">
        <f>+Historicals!G197</f>
        <v>-0.04776366648</v>
      </c>
      <c r="H119" s="83">
        <f>+Historicals!H197</f>
        <v>0.06088721369</v>
      </c>
      <c r="I119" s="83">
        <f>+Historicals!I197</f>
        <v>0.17</v>
      </c>
      <c r="J119" s="73">
        <f>J118-J120</f>
        <v>0.03745035494</v>
      </c>
      <c r="K119" s="73">
        <v>0.03745035493839541</v>
      </c>
      <c r="L119" s="73">
        <v>0.03745035493839541</v>
      </c>
      <c r="M119" s="73">
        <v>0.03745035493839541</v>
      </c>
      <c r="N119" s="73">
        <v>0.03745035493839541</v>
      </c>
    </row>
    <row r="120" ht="15.75" customHeight="1">
      <c r="A120" s="82" t="s">
        <v>191</v>
      </c>
      <c r="B120" s="83"/>
      <c r="C120" s="83"/>
      <c r="D120" s="83"/>
      <c r="E120" s="83" t="str">
        <f t="shared" ref="E120:I120" si="124">+IFERROR(E118-E119,"nm")</f>
        <v>nm</v>
      </c>
      <c r="F120" s="83">
        <f t="shared" si="124"/>
        <v>0</v>
      </c>
      <c r="G120" s="83">
        <f t="shared" si="124"/>
        <v>0</v>
      </c>
      <c r="H120" s="83">
        <f t="shared" si="124"/>
        <v>0</v>
      </c>
      <c r="I120" s="83">
        <f t="shared" si="124"/>
        <v>-0.0464689806</v>
      </c>
      <c r="J120" s="73">
        <v>0.0</v>
      </c>
      <c r="K120" s="73">
        <v>0.0</v>
      </c>
      <c r="L120" s="73">
        <v>0.0</v>
      </c>
      <c r="M120" s="73">
        <v>0.0</v>
      </c>
      <c r="N120" s="73">
        <v>0.0</v>
      </c>
    </row>
    <row r="121" ht="15.75" customHeight="1">
      <c r="A121" s="84" t="s">
        <v>192</v>
      </c>
      <c r="B121" s="44"/>
      <c r="C121" s="44"/>
      <c r="D121" s="44"/>
      <c r="E121" s="44">
        <f>+Historicals!E126</f>
        <v>1347</v>
      </c>
      <c r="F121" s="44">
        <f>+Historicals!F126</f>
        <v>1395</v>
      </c>
      <c r="G121" s="44">
        <f>+Historicals!G126</f>
        <v>1365</v>
      </c>
      <c r="H121" s="44">
        <f>+Historicals!H126</f>
        <v>1494</v>
      </c>
      <c r="I121" s="44">
        <f>+Historicals!I126</f>
        <v>1610</v>
      </c>
      <c r="J121" s="23">
        <f t="shared" ref="J121:N121" si="125">I121*(1+J122)</f>
        <v>1684.977205</v>
      </c>
      <c r="K121" s="23">
        <f t="shared" si="125"/>
        <v>1763.446076</v>
      </c>
      <c r="L121" s="23">
        <f t="shared" si="125"/>
        <v>1845.569218</v>
      </c>
      <c r="M121" s="23">
        <f t="shared" si="125"/>
        <v>1931.516809</v>
      </c>
      <c r="N121" s="23">
        <f t="shared" si="125"/>
        <v>2021.466954</v>
      </c>
    </row>
    <row r="122" ht="15.75" customHeight="1">
      <c r="A122" s="82" t="s">
        <v>188</v>
      </c>
      <c r="B122" s="83"/>
      <c r="C122" s="83"/>
      <c r="D122" s="83"/>
      <c r="E122" s="83" t="str">
        <f t="shared" ref="E122:I122" si="126">+IFERROR(E121/D121-1,"nm")</f>
        <v>nm</v>
      </c>
      <c r="F122" s="83">
        <f t="shared" si="126"/>
        <v>0.03563474388</v>
      </c>
      <c r="G122" s="83">
        <f t="shared" si="126"/>
        <v>-0.02150537634</v>
      </c>
      <c r="H122" s="83">
        <f t="shared" si="126"/>
        <v>0.09450549451</v>
      </c>
      <c r="I122" s="83">
        <f t="shared" si="126"/>
        <v>0.07764390897</v>
      </c>
      <c r="J122" s="73">
        <f>AVERAGE(C122:I122)</f>
        <v>0.04656969275</v>
      </c>
      <c r="K122" s="73">
        <v>0.04656969275147432</v>
      </c>
      <c r="L122" s="73">
        <v>0.04656969275147432</v>
      </c>
      <c r="M122" s="73">
        <v>0.04656969275147432</v>
      </c>
      <c r="N122" s="73">
        <v>0.04656969275147432</v>
      </c>
    </row>
    <row r="123" ht="15.75" customHeight="1">
      <c r="A123" s="82" t="s">
        <v>190</v>
      </c>
      <c r="B123" s="83"/>
      <c r="C123" s="83"/>
      <c r="D123" s="83"/>
      <c r="E123" s="83">
        <f>+Historicals!E198</f>
        <v>0.1367088608</v>
      </c>
      <c r="F123" s="83">
        <f>+Historicals!F198</f>
        <v>0.03563474388</v>
      </c>
      <c r="G123" s="83">
        <f>+Historicals!G198</f>
        <v>-0.02150537634</v>
      </c>
      <c r="H123" s="83">
        <f>+Historicals!H198</f>
        <v>0.09450549451</v>
      </c>
      <c r="I123" s="83">
        <f>+Historicals!I198</f>
        <v>0.12</v>
      </c>
      <c r="J123" s="73">
        <f>J122-J124</f>
        <v>0.04656969275</v>
      </c>
      <c r="K123" s="73">
        <v>0.04656969275147432</v>
      </c>
      <c r="L123" s="73">
        <v>0.04656969275147432</v>
      </c>
      <c r="M123" s="73">
        <v>0.04656969275147432</v>
      </c>
      <c r="N123" s="73">
        <v>0.04656969275147432</v>
      </c>
    </row>
    <row r="124" ht="15.75" customHeight="1">
      <c r="A124" s="82" t="s">
        <v>191</v>
      </c>
      <c r="B124" s="83"/>
      <c r="C124" s="83"/>
      <c r="D124" s="83"/>
      <c r="E124" s="83" t="str">
        <f t="shared" ref="E124:I124" si="127">+IFERROR(E122-E123,"nm")</f>
        <v>nm</v>
      </c>
      <c r="F124" s="83">
        <f t="shared" si="127"/>
        <v>0</v>
      </c>
      <c r="G124" s="83">
        <f t="shared" si="127"/>
        <v>0</v>
      </c>
      <c r="H124" s="83">
        <f t="shared" si="127"/>
        <v>0</v>
      </c>
      <c r="I124" s="83">
        <f t="shared" si="127"/>
        <v>-0.04235609103</v>
      </c>
      <c r="J124" s="73">
        <v>0.0</v>
      </c>
      <c r="K124" s="73">
        <v>0.0</v>
      </c>
      <c r="L124" s="73">
        <v>0.0</v>
      </c>
      <c r="M124" s="73">
        <v>0.0</v>
      </c>
      <c r="N124" s="73">
        <v>0.0</v>
      </c>
    </row>
    <row r="125" ht="15.75" customHeight="1">
      <c r="A125" s="84" t="s">
        <v>193</v>
      </c>
      <c r="B125" s="44"/>
      <c r="C125" s="44"/>
      <c r="D125" s="44"/>
      <c r="E125" s="44">
        <f>+Historicals!E127</f>
        <v>244</v>
      </c>
      <c r="F125" s="44">
        <f>+Historicals!F127</f>
        <v>237</v>
      </c>
      <c r="G125" s="44">
        <f>+Historicals!G127</f>
        <v>214</v>
      </c>
      <c r="H125" s="44">
        <f>+Historicals!H127</f>
        <v>190</v>
      </c>
      <c r="I125" s="44">
        <f>+Historicals!I127</f>
        <v>234</v>
      </c>
      <c r="J125" s="23">
        <f t="shared" ref="J125:N125" si="128">I125*(1+J126)</f>
        <v>233.6311269</v>
      </c>
      <c r="K125" s="23">
        <f t="shared" si="128"/>
        <v>233.2628352</v>
      </c>
      <c r="L125" s="23">
        <f t="shared" si="128"/>
        <v>232.8951242</v>
      </c>
      <c r="M125" s="23">
        <f t="shared" si="128"/>
        <v>232.5279928</v>
      </c>
      <c r="N125" s="23">
        <f t="shared" si="128"/>
        <v>232.1614401</v>
      </c>
    </row>
    <row r="126" ht="15.75" customHeight="1">
      <c r="A126" s="82" t="s">
        <v>188</v>
      </c>
      <c r="B126" s="83"/>
      <c r="C126" s="83"/>
      <c r="D126" s="83"/>
      <c r="E126" s="83" t="str">
        <f t="shared" ref="E126:I126" si="129">+IFERROR(E125/D125-1,"nm")</f>
        <v>nm</v>
      </c>
      <c r="F126" s="83">
        <f t="shared" si="129"/>
        <v>-0.02868852459</v>
      </c>
      <c r="G126" s="83">
        <f t="shared" si="129"/>
        <v>-0.0970464135</v>
      </c>
      <c r="H126" s="83">
        <f t="shared" si="129"/>
        <v>-0.1121495327</v>
      </c>
      <c r="I126" s="83">
        <f t="shared" si="129"/>
        <v>0.2315789474</v>
      </c>
      <c r="J126" s="73">
        <f>AVERAGE(C126:I126)</f>
        <v>-0.001576380859</v>
      </c>
      <c r="K126" s="73">
        <v>-0.0015763808585332328</v>
      </c>
      <c r="L126" s="73">
        <v>-0.0015763808585332328</v>
      </c>
      <c r="M126" s="73">
        <v>-0.0015763808585332328</v>
      </c>
      <c r="N126" s="73">
        <v>-0.0015763808585332328</v>
      </c>
    </row>
    <row r="127" ht="15.75" customHeight="1">
      <c r="A127" s="82" t="s">
        <v>190</v>
      </c>
      <c r="B127" s="83"/>
      <c r="C127" s="83"/>
      <c r="D127" s="83"/>
      <c r="E127" s="83">
        <f>+Historicals!E199</f>
        <v>-0.0861423221</v>
      </c>
      <c r="F127" s="83">
        <f>+Historicals!F199</f>
        <v>-0.02868852459</v>
      </c>
      <c r="G127" s="83">
        <f>+Historicals!G199</f>
        <v>-0.0970464135</v>
      </c>
      <c r="H127" s="83">
        <f>+Historicals!H199</f>
        <v>-0.1121495327</v>
      </c>
      <c r="I127" s="83">
        <f>+Historicals!I199</f>
        <v>0.28</v>
      </c>
      <c r="J127" s="73">
        <f>J126-J128</f>
        <v>-0.001576380859</v>
      </c>
      <c r="K127" s="73">
        <v>-0.0015763808585332328</v>
      </c>
      <c r="L127" s="73">
        <v>-0.0015763808585332328</v>
      </c>
      <c r="M127" s="73">
        <v>-0.0015763808585332328</v>
      </c>
      <c r="N127" s="73">
        <v>-0.0015763808585332328</v>
      </c>
    </row>
    <row r="128" ht="15.75" customHeight="1">
      <c r="A128" s="82" t="s">
        <v>191</v>
      </c>
      <c r="B128" s="83"/>
      <c r="C128" s="83"/>
      <c r="D128" s="83"/>
      <c r="E128" s="83" t="str">
        <f t="shared" ref="E128:I128" si="130">+IFERROR(E126-E127,"nm")</f>
        <v>nm</v>
      </c>
      <c r="F128" s="83">
        <f t="shared" si="130"/>
        <v>0</v>
      </c>
      <c r="G128" s="83">
        <f t="shared" si="130"/>
        <v>0</v>
      </c>
      <c r="H128" s="83">
        <f t="shared" si="130"/>
        <v>0</v>
      </c>
      <c r="I128" s="83">
        <f t="shared" si="130"/>
        <v>-0.04842105263</v>
      </c>
      <c r="J128" s="73">
        <v>0.0</v>
      </c>
      <c r="K128" s="73">
        <v>0.0</v>
      </c>
      <c r="L128" s="73">
        <v>0.0</v>
      </c>
      <c r="M128" s="73">
        <v>0.0</v>
      </c>
      <c r="N128" s="73">
        <v>0.0</v>
      </c>
    </row>
    <row r="129" ht="15.75" customHeight="1">
      <c r="A129" s="81" t="s">
        <v>194</v>
      </c>
      <c r="B129" s="81"/>
      <c r="C129" s="81"/>
      <c r="D129" s="81"/>
      <c r="E129" s="81">
        <f t="shared" ref="E129:N129" si="131">+E136+E132</f>
        <v>1244</v>
      </c>
      <c r="F129" s="81">
        <f t="shared" si="131"/>
        <v>1376</v>
      </c>
      <c r="G129" s="81">
        <f t="shared" si="131"/>
        <v>1230</v>
      </c>
      <c r="H129" s="81">
        <f t="shared" si="131"/>
        <v>1573</v>
      </c>
      <c r="I129" s="81">
        <f t="shared" si="131"/>
        <v>1938</v>
      </c>
      <c r="J129" s="28">
        <f t="shared" si="131"/>
        <v>1690.653941</v>
      </c>
      <c r="K129" s="28">
        <f t="shared" si="131"/>
        <v>1759.791027</v>
      </c>
      <c r="L129" s="28">
        <f t="shared" si="131"/>
        <v>1827.608148</v>
      </c>
      <c r="M129" s="28">
        <f t="shared" si="131"/>
        <v>1898.174217</v>
      </c>
      <c r="N129" s="28">
        <f t="shared" si="131"/>
        <v>1971.601735</v>
      </c>
      <c r="O129" s="79"/>
      <c r="P129" s="79"/>
      <c r="Q129" s="79"/>
      <c r="R129" s="79"/>
      <c r="S129" s="79"/>
      <c r="T129" s="79"/>
      <c r="U129" s="79"/>
      <c r="V129" s="79"/>
      <c r="W129" s="79"/>
      <c r="X129" s="79"/>
      <c r="Y129" s="79"/>
      <c r="Z129" s="79"/>
    </row>
    <row r="130" ht="15.75" customHeight="1">
      <c r="A130" s="82" t="s">
        <v>188</v>
      </c>
      <c r="B130" s="83"/>
      <c r="C130" s="83"/>
      <c r="D130" s="83"/>
      <c r="E130" s="83" t="str">
        <f t="shared" ref="E130:N130" si="132">+IFERROR(E129/D129-1,"nm")</f>
        <v>nm</v>
      </c>
      <c r="F130" s="83">
        <f t="shared" si="132"/>
        <v>0.1061093248</v>
      </c>
      <c r="G130" s="83">
        <f t="shared" si="132"/>
        <v>-0.1061046512</v>
      </c>
      <c r="H130" s="83">
        <f t="shared" si="132"/>
        <v>0.2788617886</v>
      </c>
      <c r="I130" s="83">
        <f t="shared" si="132"/>
        <v>0.2320406866</v>
      </c>
      <c r="J130" s="73">
        <f t="shared" si="132"/>
        <v>-0.1276295455</v>
      </c>
      <c r="K130" s="73">
        <f t="shared" si="132"/>
        <v>0.04089369463</v>
      </c>
      <c r="L130" s="73">
        <f t="shared" si="132"/>
        <v>0.03853703115</v>
      </c>
      <c r="M130" s="73">
        <f t="shared" si="132"/>
        <v>0.03861115917</v>
      </c>
      <c r="N130" s="73">
        <f t="shared" si="132"/>
        <v>0.038683234</v>
      </c>
    </row>
    <row r="131" ht="15.75" customHeight="1">
      <c r="A131" s="82" t="s">
        <v>195</v>
      </c>
      <c r="B131" s="83"/>
      <c r="C131" s="83"/>
      <c r="D131" s="83"/>
      <c r="E131" s="83">
        <f t="shared" ref="E131:I131" si="133">+IFERROR(E129/E$115,"nm")</f>
        <v>0.2408052652</v>
      </c>
      <c r="F131" s="83">
        <f t="shared" si="133"/>
        <v>0.2618956985</v>
      </c>
      <c r="G131" s="83">
        <f t="shared" si="133"/>
        <v>0.2446300716</v>
      </c>
      <c r="H131" s="83">
        <f t="shared" si="133"/>
        <v>0.2944038929</v>
      </c>
      <c r="I131" s="83">
        <f t="shared" si="133"/>
        <v>0.325440806</v>
      </c>
      <c r="J131" s="73">
        <f>AVERAGE(C131:I131)</f>
        <v>0.2734351469</v>
      </c>
      <c r="K131" s="73">
        <v>0.2153871544698304</v>
      </c>
      <c r="L131" s="73">
        <v>0.2153871544698304</v>
      </c>
      <c r="M131" s="73">
        <v>0.2153871544698304</v>
      </c>
      <c r="N131" s="73">
        <v>0.2153871544698304</v>
      </c>
    </row>
    <row r="132" ht="15.75" customHeight="1">
      <c r="A132" s="81" t="s">
        <v>196</v>
      </c>
      <c r="B132" s="81"/>
      <c r="C132" s="81"/>
      <c r="D132" s="81"/>
      <c r="E132" s="81">
        <f>+Historicals!E175</f>
        <v>55</v>
      </c>
      <c r="F132" s="81">
        <f>+Historicals!F175</f>
        <v>53</v>
      </c>
      <c r="G132" s="81">
        <f>+Historicals!G175</f>
        <v>46</v>
      </c>
      <c r="H132" s="81">
        <f>+Historicals!H175</f>
        <v>43</v>
      </c>
      <c r="I132" s="81">
        <f>+Historicals!I175</f>
        <v>42</v>
      </c>
      <c r="J132" s="28">
        <f t="shared" ref="J132:N132" si="134">J135*J142</f>
        <v>55.48135865</v>
      </c>
      <c r="K132" s="28">
        <f t="shared" si="134"/>
        <v>61.72843558</v>
      </c>
      <c r="L132" s="28">
        <f t="shared" si="134"/>
        <v>64.10726623</v>
      </c>
      <c r="M132" s="28">
        <f t="shared" si="134"/>
        <v>66.58252209</v>
      </c>
      <c r="N132" s="28">
        <f t="shared" si="134"/>
        <v>69.15814937</v>
      </c>
      <c r="O132" s="79"/>
      <c r="P132" s="79"/>
      <c r="Q132" s="79"/>
      <c r="R132" s="79"/>
      <c r="S132" s="79"/>
      <c r="T132" s="79"/>
      <c r="U132" s="79"/>
      <c r="V132" s="79"/>
      <c r="W132" s="79"/>
      <c r="X132" s="79"/>
      <c r="Y132" s="79"/>
      <c r="Z132" s="79"/>
    </row>
    <row r="133" ht="15.75" customHeight="1">
      <c r="A133" s="82" t="s">
        <v>188</v>
      </c>
      <c r="B133" s="83"/>
      <c r="C133" s="83"/>
      <c r="D133" s="83"/>
      <c r="E133" s="83" t="str">
        <f t="shared" ref="E133:N133" si="135">+IFERROR(E132/D132-1,"nm")</f>
        <v>nm</v>
      </c>
      <c r="F133" s="83">
        <f t="shared" si="135"/>
        <v>-0.03636363636</v>
      </c>
      <c r="G133" s="83">
        <f t="shared" si="135"/>
        <v>-0.1320754717</v>
      </c>
      <c r="H133" s="83">
        <f t="shared" si="135"/>
        <v>-0.0652173913</v>
      </c>
      <c r="I133" s="83">
        <f t="shared" si="135"/>
        <v>-0.02325581395</v>
      </c>
      <c r="J133" s="73">
        <f t="shared" si="135"/>
        <v>0.3209847298</v>
      </c>
      <c r="K133" s="73">
        <f t="shared" si="135"/>
        <v>0.1125977641</v>
      </c>
      <c r="L133" s="73">
        <f t="shared" si="135"/>
        <v>0.03853703115</v>
      </c>
      <c r="M133" s="73">
        <f t="shared" si="135"/>
        <v>0.03861115917</v>
      </c>
      <c r="N133" s="73">
        <f t="shared" si="135"/>
        <v>0.038683234</v>
      </c>
    </row>
    <row r="134" ht="15.75" customHeight="1">
      <c r="A134" s="82" t="s">
        <v>197</v>
      </c>
      <c r="B134" s="83"/>
      <c r="C134" s="83"/>
      <c r="D134" s="83"/>
      <c r="E134" s="83">
        <f t="shared" ref="E134:I134" si="136">+IFERROR(E132/E$115,"nm")</f>
        <v>0.01064653504</v>
      </c>
      <c r="F134" s="83">
        <f t="shared" si="136"/>
        <v>0.01008755234</v>
      </c>
      <c r="G134" s="83">
        <f t="shared" si="136"/>
        <v>0.009148766905</v>
      </c>
      <c r="H134" s="83">
        <f t="shared" si="136"/>
        <v>0.008047913157</v>
      </c>
      <c r="I134" s="83">
        <f t="shared" si="136"/>
        <v>0.007052896725</v>
      </c>
      <c r="J134" s="73">
        <f>J132/J115</f>
        <v>0.008972387778</v>
      </c>
      <c r="K134" s="73">
        <v>0.009612937527214486</v>
      </c>
      <c r="L134" s="73">
        <v>0.009612937527214486</v>
      </c>
      <c r="M134" s="73">
        <v>0.009612937527214486</v>
      </c>
      <c r="N134" s="73">
        <v>0.009612937527214486</v>
      </c>
    </row>
    <row r="135" ht="15.75" customHeight="1">
      <c r="A135" s="82" t="s">
        <v>180</v>
      </c>
      <c r="B135" s="83"/>
      <c r="C135" s="83"/>
      <c r="D135" s="83"/>
      <c r="E135" s="83">
        <f t="shared" ref="E135:I135" si="137">+IFERROR(E132/E142,"nm")</f>
        <v>0.1622418879</v>
      </c>
      <c r="F135" s="83">
        <f t="shared" si="137"/>
        <v>0.1625766871</v>
      </c>
      <c r="G135" s="83">
        <f t="shared" si="137"/>
        <v>0.1554054054</v>
      </c>
      <c r="H135" s="83">
        <f t="shared" si="137"/>
        <v>0.1414473684</v>
      </c>
      <c r="I135" s="83">
        <f t="shared" si="137"/>
        <v>0.1532846715</v>
      </c>
      <c r="J135" s="73">
        <f>AVERAGE(C135:I135)</f>
        <v>0.1549912041</v>
      </c>
      <c r="K135" s="73">
        <v>0.17938659513083915</v>
      </c>
      <c r="L135" s="73">
        <v>0.17938659513083915</v>
      </c>
      <c r="M135" s="73">
        <v>0.17938659513083915</v>
      </c>
      <c r="N135" s="73">
        <v>0.17938659513083915</v>
      </c>
    </row>
    <row r="136" ht="15.75" customHeight="1">
      <c r="A136" s="81" t="s">
        <v>198</v>
      </c>
      <c r="B136" s="81"/>
      <c r="C136" s="81"/>
      <c r="D136" s="81"/>
      <c r="E136" s="81">
        <f>+Historicals!E142</f>
        <v>1189</v>
      </c>
      <c r="F136" s="81">
        <f>+Historicals!F142</f>
        <v>1323</v>
      </c>
      <c r="G136" s="81">
        <f>+Historicals!G142</f>
        <v>1184</v>
      </c>
      <c r="H136" s="81">
        <f>+Historicals!H142</f>
        <v>1530</v>
      </c>
      <c r="I136" s="81">
        <f>+Historicals!I142</f>
        <v>1896</v>
      </c>
      <c r="J136" s="28">
        <f t="shared" ref="J136:N136" si="138">J115*J138</f>
        <v>1635.172582</v>
      </c>
      <c r="K136" s="28">
        <f t="shared" si="138"/>
        <v>1698.062591</v>
      </c>
      <c r="L136" s="28">
        <f t="shared" si="138"/>
        <v>1763.500882</v>
      </c>
      <c r="M136" s="28">
        <f t="shared" si="138"/>
        <v>1831.591695</v>
      </c>
      <c r="N136" s="28">
        <f t="shared" si="138"/>
        <v>1902.443586</v>
      </c>
      <c r="O136" s="79"/>
      <c r="P136" s="79"/>
      <c r="Q136" s="79"/>
      <c r="R136" s="79"/>
      <c r="S136" s="79"/>
      <c r="T136" s="79"/>
      <c r="U136" s="79"/>
      <c r="V136" s="79"/>
      <c r="W136" s="79"/>
      <c r="X136" s="79"/>
      <c r="Y136" s="79"/>
      <c r="Z136" s="79"/>
    </row>
    <row r="137" ht="15.75" customHeight="1">
      <c r="A137" s="82" t="s">
        <v>188</v>
      </c>
      <c r="B137" s="83"/>
      <c r="C137" s="83"/>
      <c r="D137" s="83"/>
      <c r="E137" s="83" t="str">
        <f t="shared" ref="E137:N137" si="139">+IFERROR(E136/D136-1,"nm")</f>
        <v>nm</v>
      </c>
      <c r="F137" s="83">
        <f t="shared" si="139"/>
        <v>0.1126997477</v>
      </c>
      <c r="G137" s="83">
        <f t="shared" si="139"/>
        <v>-0.1050642479</v>
      </c>
      <c r="H137" s="83">
        <f t="shared" si="139"/>
        <v>0.2922297297</v>
      </c>
      <c r="I137" s="83">
        <f t="shared" si="139"/>
        <v>0.2392156863</v>
      </c>
      <c r="J137" s="73">
        <f t="shared" si="139"/>
        <v>-0.1375672035</v>
      </c>
      <c r="K137" s="73">
        <f t="shared" si="139"/>
        <v>0.03846077762</v>
      </c>
      <c r="L137" s="73">
        <f t="shared" si="139"/>
        <v>0.03853703115</v>
      </c>
      <c r="M137" s="73">
        <f t="shared" si="139"/>
        <v>0.03861115917</v>
      </c>
      <c r="N137" s="73">
        <f t="shared" si="139"/>
        <v>0.038683234</v>
      </c>
    </row>
    <row r="138" ht="15.75" customHeight="1">
      <c r="A138" s="82" t="s">
        <v>195</v>
      </c>
      <c r="B138" s="83"/>
      <c r="C138" s="83"/>
      <c r="D138" s="83"/>
      <c r="E138" s="83">
        <f t="shared" ref="E138:I138" si="140">+IFERROR(E136/E$115,"nm")</f>
        <v>0.2301587302</v>
      </c>
      <c r="F138" s="83">
        <f t="shared" si="140"/>
        <v>0.2518081462</v>
      </c>
      <c r="G138" s="83">
        <f t="shared" si="140"/>
        <v>0.2354813047</v>
      </c>
      <c r="H138" s="83">
        <f t="shared" si="140"/>
        <v>0.2863559798</v>
      </c>
      <c r="I138" s="83">
        <f t="shared" si="140"/>
        <v>0.3183879093</v>
      </c>
      <c r="J138" s="73">
        <f>AVERAGE(C138:I138)</f>
        <v>0.264438414</v>
      </c>
      <c r="K138" s="73">
        <v>0.26443841402666496</v>
      </c>
      <c r="L138" s="73">
        <v>0.26443841402666496</v>
      </c>
      <c r="M138" s="73">
        <v>0.26443841402666496</v>
      </c>
      <c r="N138" s="73">
        <v>0.26443841402666496</v>
      </c>
    </row>
    <row r="139" ht="15.75" customHeight="1">
      <c r="A139" s="81" t="s">
        <v>199</v>
      </c>
      <c r="B139" s="81"/>
      <c r="C139" s="81"/>
      <c r="D139" s="81"/>
      <c r="E139" s="81">
        <f>+Historicals!E164</f>
        <v>49</v>
      </c>
      <c r="F139" s="81">
        <f>+Historicals!F164</f>
        <v>47</v>
      </c>
      <c r="G139" s="81">
        <f>+Historicals!G164</f>
        <v>41</v>
      </c>
      <c r="H139" s="81">
        <f>+Historicals!H164</f>
        <v>54</v>
      </c>
      <c r="I139" s="81">
        <f>+Historicals!I164</f>
        <v>56</v>
      </c>
      <c r="J139" s="28">
        <f t="shared" ref="J139:N139" si="141">J115*J141</f>
        <v>57.00696936</v>
      </c>
      <c r="K139" s="28">
        <f t="shared" si="141"/>
        <v>59.19950173</v>
      </c>
      <c r="L139" s="28">
        <f t="shared" si="141"/>
        <v>61.48087477</v>
      </c>
      <c r="M139" s="28">
        <f t="shared" si="141"/>
        <v>63.85472262</v>
      </c>
      <c r="N139" s="28">
        <f t="shared" si="141"/>
        <v>66.32482979</v>
      </c>
      <c r="O139" s="79"/>
      <c r="P139" s="79"/>
      <c r="Q139" s="79"/>
      <c r="R139" s="79"/>
      <c r="S139" s="79"/>
      <c r="T139" s="79"/>
      <c r="U139" s="79"/>
      <c r="V139" s="79"/>
      <c r="W139" s="79"/>
      <c r="X139" s="79"/>
      <c r="Y139" s="79"/>
      <c r="Z139" s="79"/>
    </row>
    <row r="140" ht="15.75" customHeight="1">
      <c r="A140" s="82" t="s">
        <v>188</v>
      </c>
      <c r="B140" s="83"/>
      <c r="C140" s="83"/>
      <c r="D140" s="83"/>
      <c r="E140" s="83" t="str">
        <f t="shared" ref="E140:I140" si="142">+IFERROR(E139/D139-1,"nm")</f>
        <v>nm</v>
      </c>
      <c r="F140" s="83">
        <f t="shared" si="142"/>
        <v>-0.04081632653</v>
      </c>
      <c r="G140" s="83">
        <f t="shared" si="142"/>
        <v>-0.1276595745</v>
      </c>
      <c r="H140" s="83">
        <f t="shared" si="142"/>
        <v>0.3170731707</v>
      </c>
      <c r="I140" s="83">
        <f t="shared" si="142"/>
        <v>0.03703703704</v>
      </c>
      <c r="J140" s="73">
        <f t="shared" ref="J140:N140" si="143">(J139-I139)/I139</f>
        <v>0.01798159571</v>
      </c>
      <c r="K140" s="73">
        <f t="shared" si="143"/>
        <v>0.03846077762</v>
      </c>
      <c r="L140" s="73">
        <f t="shared" si="143"/>
        <v>0.03853703115</v>
      </c>
      <c r="M140" s="73">
        <f t="shared" si="143"/>
        <v>0.03861115917</v>
      </c>
      <c r="N140" s="73">
        <f t="shared" si="143"/>
        <v>0.038683234</v>
      </c>
    </row>
    <row r="141" ht="15.75" customHeight="1">
      <c r="A141" s="82" t="s">
        <v>197</v>
      </c>
      <c r="B141" s="83"/>
      <c r="C141" s="83"/>
      <c r="D141" s="83"/>
      <c r="E141" s="83">
        <f t="shared" ref="E141:I141" si="144">+IFERROR(E139/E$115,"nm")</f>
        <v>0.009485094851</v>
      </c>
      <c r="F141" s="83">
        <f t="shared" si="144"/>
        <v>0.008945565284</v>
      </c>
      <c r="G141" s="83">
        <f t="shared" si="144"/>
        <v>0.00815433572</v>
      </c>
      <c r="H141" s="83">
        <f t="shared" si="144"/>
        <v>0.01010668164</v>
      </c>
      <c r="I141" s="83">
        <f t="shared" si="144"/>
        <v>0.009403862301</v>
      </c>
      <c r="J141" s="73">
        <f>AVERAGE(C141:I141)</f>
        <v>0.009219107959</v>
      </c>
      <c r="K141" s="73">
        <v>0.009219107958925247</v>
      </c>
      <c r="L141" s="73">
        <v>0.009219107958925247</v>
      </c>
      <c r="M141" s="73">
        <v>0.009219107958925247</v>
      </c>
      <c r="N141" s="73">
        <v>0.009219107958925247</v>
      </c>
    </row>
    <row r="142" ht="15.75" customHeight="1">
      <c r="A142" s="28" t="s">
        <v>183</v>
      </c>
      <c r="B142" s="28"/>
      <c r="C142" s="28"/>
      <c r="D142" s="28"/>
      <c r="E142" s="28">
        <f>Historicals!E153</f>
        <v>339</v>
      </c>
      <c r="F142" s="28">
        <f>Historicals!F153</f>
        <v>326</v>
      </c>
      <c r="G142" s="28">
        <f>Historicals!G153</f>
        <v>296</v>
      </c>
      <c r="H142" s="28">
        <f>Historicals!H153</f>
        <v>304</v>
      </c>
      <c r="I142" s="28">
        <f>Historicals!I153</f>
        <v>274</v>
      </c>
      <c r="J142" s="28">
        <f t="shared" ref="J142:N142" si="145">J115*J144</f>
        <v>357.9645631</v>
      </c>
      <c r="K142" s="28">
        <f t="shared" si="145"/>
        <v>344.1084075</v>
      </c>
      <c r="L142" s="28">
        <f t="shared" si="145"/>
        <v>357.369324</v>
      </c>
      <c r="M142" s="28">
        <f t="shared" si="145"/>
        <v>371.1677678</v>
      </c>
      <c r="N142" s="28">
        <f t="shared" si="145"/>
        <v>385.5257374</v>
      </c>
      <c r="O142" s="79"/>
      <c r="P142" s="79"/>
      <c r="Q142" s="79"/>
      <c r="R142" s="79"/>
      <c r="S142" s="79"/>
      <c r="T142" s="79"/>
      <c r="U142" s="79"/>
      <c r="V142" s="79"/>
      <c r="W142" s="79"/>
      <c r="X142" s="79"/>
      <c r="Y142" s="79"/>
      <c r="Z142" s="79"/>
    </row>
    <row r="143" ht="15.75" customHeight="1">
      <c r="A143" s="65" t="s">
        <v>138</v>
      </c>
      <c r="B143" s="75"/>
      <c r="C143" s="75"/>
      <c r="D143" s="75"/>
      <c r="E143" s="75" t="str">
        <f t="shared" ref="E143:N143" si="146">+IFERROR(E142/D142-1,"nm")</f>
        <v>nm</v>
      </c>
      <c r="F143" s="75">
        <f t="shared" si="146"/>
        <v>-0.0383480826</v>
      </c>
      <c r="G143" s="75">
        <f t="shared" si="146"/>
        <v>-0.09202453988</v>
      </c>
      <c r="H143" s="83">
        <f t="shared" si="146"/>
        <v>0.02702702703</v>
      </c>
      <c r="I143" s="83">
        <f t="shared" si="146"/>
        <v>-0.09868421053</v>
      </c>
      <c r="J143" s="73">
        <f t="shared" si="146"/>
        <v>0.3064400113</v>
      </c>
      <c r="K143" s="73">
        <f t="shared" si="146"/>
        <v>-0.03870817671</v>
      </c>
      <c r="L143" s="73">
        <f t="shared" si="146"/>
        <v>0.03853703115</v>
      </c>
      <c r="M143" s="73">
        <f t="shared" si="146"/>
        <v>0.03861115917</v>
      </c>
      <c r="N143" s="73">
        <f t="shared" si="146"/>
        <v>0.038683234</v>
      </c>
    </row>
    <row r="144" ht="15.75" customHeight="1">
      <c r="A144" s="65" t="s">
        <v>179</v>
      </c>
      <c r="B144" s="75"/>
      <c r="C144" s="75"/>
      <c r="D144" s="75"/>
      <c r="E144" s="75">
        <f t="shared" ref="E144:I144" si="147">+IFERROR(E142/E$115,"nm")</f>
        <v>0.0656213705</v>
      </c>
      <c r="F144" s="75">
        <f t="shared" si="147"/>
        <v>0.06204796346</v>
      </c>
      <c r="G144" s="75">
        <f t="shared" si="147"/>
        <v>0.05887032617</v>
      </c>
      <c r="H144" s="83">
        <f t="shared" si="147"/>
        <v>0.05689687442</v>
      </c>
      <c r="I144" s="83">
        <f t="shared" si="147"/>
        <v>0.04601175483</v>
      </c>
      <c r="J144" s="73">
        <f>AVERAGE(C144:I144)</f>
        <v>0.05788965787</v>
      </c>
      <c r="K144" s="73">
        <v>0.053587825334457675</v>
      </c>
      <c r="L144" s="73">
        <v>0.053587825334457675</v>
      </c>
      <c r="M144" s="73">
        <v>0.053587825334457675</v>
      </c>
      <c r="N144" s="73">
        <v>0.053587825334457675</v>
      </c>
    </row>
    <row r="145" ht="15.75" customHeight="1">
      <c r="A145" s="22" t="str">
        <f>+Historicals!A128</f>
        <v>Global Brand Divisions</v>
      </c>
    </row>
    <row r="146" ht="15.75" customHeight="1">
      <c r="A146" s="28" t="s">
        <v>184</v>
      </c>
      <c r="B146" s="28">
        <f>+Historicals!B128</f>
        <v>115</v>
      </c>
      <c r="C146" s="28">
        <f>+Historicals!C128</f>
        <v>73</v>
      </c>
      <c r="D146" s="28">
        <f>+Historicals!D128</f>
        <v>73</v>
      </c>
      <c r="E146" s="28">
        <f>+Historicals!E128</f>
        <v>88</v>
      </c>
      <c r="F146" s="28">
        <f>+Historicals!F128</f>
        <v>42</v>
      </c>
      <c r="G146" s="28">
        <f>+Historicals!G128</f>
        <v>30</v>
      </c>
      <c r="H146" s="28">
        <f>+Historicals!H128</f>
        <v>25</v>
      </c>
      <c r="I146" s="28">
        <f>+Historicals!I128</f>
        <v>102</v>
      </c>
      <c r="J146" s="23">
        <f t="shared" ref="J146:N146" si="148">I146*(1+J147)</f>
        <v>130.3436702</v>
      </c>
      <c r="K146" s="23">
        <f t="shared" si="148"/>
        <v>166.5634545</v>
      </c>
      <c r="L146" s="23">
        <f t="shared" si="148"/>
        <v>212.8479605</v>
      </c>
      <c r="M146" s="23">
        <f t="shared" si="148"/>
        <v>271.9939643</v>
      </c>
      <c r="N146" s="23">
        <f t="shared" si="148"/>
        <v>347.5754076</v>
      </c>
    </row>
    <row r="147" ht="15.75" customHeight="1">
      <c r="A147" s="65" t="s">
        <v>138</v>
      </c>
      <c r="B147" s="75" t="str">
        <f t="shared" ref="B147:I147" si="149">+IFERROR(B146/A146-1,"nm")</f>
        <v>nm</v>
      </c>
      <c r="C147" s="75">
        <f t="shared" si="149"/>
        <v>-0.3652173913</v>
      </c>
      <c r="D147" s="75">
        <f t="shared" si="149"/>
        <v>0</v>
      </c>
      <c r="E147" s="75">
        <f t="shared" si="149"/>
        <v>0.2054794521</v>
      </c>
      <c r="F147" s="75">
        <f t="shared" si="149"/>
        <v>-0.5227272727</v>
      </c>
      <c r="G147" s="75">
        <f t="shared" si="149"/>
        <v>-0.2857142857</v>
      </c>
      <c r="H147" s="75">
        <f t="shared" si="149"/>
        <v>-0.1666666667</v>
      </c>
      <c r="I147" s="75">
        <f t="shared" si="149"/>
        <v>3.08</v>
      </c>
      <c r="J147" s="73">
        <f>AVERAGE(C147:I147)</f>
        <v>0.2778791194</v>
      </c>
      <c r="K147" s="73">
        <v>0.27787911937746024</v>
      </c>
      <c r="L147" s="73">
        <v>0.27787911937746024</v>
      </c>
      <c r="M147" s="73">
        <v>0.27787911937746024</v>
      </c>
      <c r="N147" s="73">
        <v>0.27787911937746024</v>
      </c>
    </row>
    <row r="148" ht="15.75" customHeight="1">
      <c r="A148" s="28" t="s">
        <v>175</v>
      </c>
      <c r="B148" s="28">
        <f t="shared" ref="B148:N148" si="150">+B155+B151</f>
        <v>-2057</v>
      </c>
      <c r="C148" s="28">
        <f t="shared" si="150"/>
        <v>-2366</v>
      </c>
      <c r="D148" s="28">
        <f t="shared" si="150"/>
        <v>-2444</v>
      </c>
      <c r="E148" s="28">
        <f t="shared" si="150"/>
        <v>-2441</v>
      </c>
      <c r="F148" s="28">
        <f t="shared" si="150"/>
        <v>-3067</v>
      </c>
      <c r="G148" s="28">
        <f t="shared" si="150"/>
        <v>-3254</v>
      </c>
      <c r="H148" s="28">
        <f t="shared" si="150"/>
        <v>-3434</v>
      </c>
      <c r="I148" s="28">
        <f t="shared" si="150"/>
        <v>-4042</v>
      </c>
      <c r="J148" s="28">
        <f t="shared" si="150"/>
        <v>-4453.757433</v>
      </c>
      <c r="K148" s="28">
        <f t="shared" si="150"/>
        <v>-4905.666725</v>
      </c>
      <c r="L148" s="28">
        <f t="shared" si="150"/>
        <v>-5401.627581</v>
      </c>
      <c r="M148" s="28">
        <f t="shared" si="150"/>
        <v>-5945.918318</v>
      </c>
      <c r="N148" s="28">
        <f t="shared" si="150"/>
        <v>-6543.23262</v>
      </c>
    </row>
    <row r="149" ht="15.75" customHeight="1">
      <c r="A149" s="65" t="s">
        <v>138</v>
      </c>
      <c r="B149" s="75" t="str">
        <f t="shared" ref="B149:I149" si="151">+IFERROR(B148/A148-1,"nm")</f>
        <v>nm</v>
      </c>
      <c r="C149" s="75">
        <f t="shared" si="151"/>
        <v>0.1502187652</v>
      </c>
      <c r="D149" s="75">
        <f t="shared" si="151"/>
        <v>0.03296703297</v>
      </c>
      <c r="E149" s="75">
        <f t="shared" si="151"/>
        <v>-0.001227495908</v>
      </c>
      <c r="F149" s="75">
        <f t="shared" si="151"/>
        <v>0.2564522737</v>
      </c>
      <c r="G149" s="75">
        <f t="shared" si="151"/>
        <v>0.06097163352</v>
      </c>
      <c r="H149" s="75">
        <f t="shared" si="151"/>
        <v>0.0553165335</v>
      </c>
      <c r="I149" s="75">
        <f t="shared" si="151"/>
        <v>0.1770529994</v>
      </c>
      <c r="J149" s="73">
        <f>AVERAGE(C149:I149)</f>
        <v>0.1045359632</v>
      </c>
      <c r="K149" s="73">
        <v>0.10453596319170987</v>
      </c>
      <c r="L149" s="73">
        <v>0.10453596319170987</v>
      </c>
      <c r="M149" s="73">
        <v>0.10453596319170987</v>
      </c>
      <c r="N149" s="73">
        <v>0.10453596319170987</v>
      </c>
    </row>
    <row r="150" ht="15.75" customHeight="1">
      <c r="A150" s="65" t="s">
        <v>176</v>
      </c>
      <c r="B150" s="75">
        <f t="shared" ref="B150:N150" si="152">+IFERROR(B148/B$146,"nm")</f>
        <v>-17.88695652</v>
      </c>
      <c r="C150" s="75">
        <f t="shared" si="152"/>
        <v>-32.4109589</v>
      </c>
      <c r="D150" s="75">
        <f t="shared" si="152"/>
        <v>-33.47945205</v>
      </c>
      <c r="E150" s="75">
        <f t="shared" si="152"/>
        <v>-27.73863636</v>
      </c>
      <c r="F150" s="75">
        <f t="shared" si="152"/>
        <v>-73.02380952</v>
      </c>
      <c r="G150" s="75">
        <f t="shared" si="152"/>
        <v>-108.4666667</v>
      </c>
      <c r="H150" s="75">
        <f t="shared" si="152"/>
        <v>-137.36</v>
      </c>
      <c r="I150" s="75">
        <f t="shared" si="152"/>
        <v>-39.62745098</v>
      </c>
      <c r="J150" s="75">
        <f t="shared" si="152"/>
        <v>-34.16934192</v>
      </c>
      <c r="K150" s="75">
        <f t="shared" si="152"/>
        <v>-29.45223933</v>
      </c>
      <c r="L150" s="75">
        <f t="shared" si="152"/>
        <v>-25.37786864</v>
      </c>
      <c r="M150" s="75">
        <f t="shared" si="152"/>
        <v>-21.8604789</v>
      </c>
      <c r="N150" s="75">
        <f t="shared" si="152"/>
        <v>-18.82536128</v>
      </c>
    </row>
    <row r="151" ht="15.75" customHeight="1">
      <c r="A151" s="28" t="s">
        <v>177</v>
      </c>
      <c r="B151" s="28">
        <f>+Historicals!B176</f>
        <v>210</v>
      </c>
      <c r="C151" s="28">
        <f>+Historicals!C176</f>
        <v>230</v>
      </c>
      <c r="D151" s="28">
        <f>+Historicals!D176</f>
        <v>233</v>
      </c>
      <c r="E151" s="28">
        <f>+Historicals!E176</f>
        <v>217</v>
      </c>
      <c r="F151" s="28">
        <f>+Historicals!F176</f>
        <v>195</v>
      </c>
      <c r="G151" s="28">
        <f>+Historicals!G176</f>
        <v>214</v>
      </c>
      <c r="H151" s="28">
        <f>+Historicals!H176</f>
        <v>222</v>
      </c>
      <c r="I151" s="28">
        <f>+Historicals!I176</f>
        <v>220</v>
      </c>
      <c r="J151" s="28">
        <f t="shared" ref="J151:N151" si="153">I151*(1+J152)</f>
        <v>222.0126739</v>
      </c>
      <c r="K151" s="28">
        <f t="shared" si="153"/>
        <v>224.0437607</v>
      </c>
      <c r="L151" s="28">
        <f t="shared" si="153"/>
        <v>226.093429</v>
      </c>
      <c r="M151" s="28">
        <f t="shared" si="153"/>
        <v>228.1618487</v>
      </c>
      <c r="N151" s="28">
        <f t="shared" si="153"/>
        <v>230.2491914</v>
      </c>
      <c r="O151" s="79"/>
      <c r="P151" s="79"/>
      <c r="Q151" s="79"/>
      <c r="R151" s="79"/>
      <c r="S151" s="79"/>
      <c r="T151" s="79"/>
      <c r="U151" s="79"/>
      <c r="V151" s="79"/>
      <c r="W151" s="79"/>
      <c r="X151" s="79"/>
      <c r="Y151" s="79"/>
      <c r="Z151" s="79"/>
    </row>
    <row r="152" ht="15.75" customHeight="1">
      <c r="A152" s="65" t="s">
        <v>138</v>
      </c>
      <c r="B152" s="75" t="str">
        <f t="shared" ref="B152:I152" si="154">+IFERROR(B151/A151-1,"nm")</f>
        <v>nm</v>
      </c>
      <c r="C152" s="75">
        <f t="shared" si="154"/>
        <v>0.09523809524</v>
      </c>
      <c r="D152" s="75">
        <f t="shared" si="154"/>
        <v>0.01304347826</v>
      </c>
      <c r="E152" s="75">
        <f t="shared" si="154"/>
        <v>-0.0686695279</v>
      </c>
      <c r="F152" s="75">
        <f t="shared" si="154"/>
        <v>-0.1013824885</v>
      </c>
      <c r="G152" s="75">
        <f t="shared" si="154"/>
        <v>0.09743589744</v>
      </c>
      <c r="H152" s="75">
        <f t="shared" si="154"/>
        <v>0.03738317757</v>
      </c>
      <c r="I152" s="75">
        <f t="shared" si="154"/>
        <v>-0.009009009009</v>
      </c>
      <c r="J152" s="73">
        <f>AVERAGE(C152:I152)</f>
        <v>0.009148517589</v>
      </c>
      <c r="K152" s="73">
        <v>0.009148517588526908</v>
      </c>
      <c r="L152" s="73">
        <v>0.009148517588526908</v>
      </c>
      <c r="M152" s="73">
        <v>0.009148517588526908</v>
      </c>
      <c r="N152" s="73">
        <v>0.009148517588526908</v>
      </c>
    </row>
    <row r="153" ht="15.75" customHeight="1">
      <c r="A153" s="65" t="s">
        <v>179</v>
      </c>
      <c r="B153" s="75">
        <f t="shared" ref="B153:N153" si="155">+IFERROR(B151/B$146,"nm")</f>
        <v>1.826086957</v>
      </c>
      <c r="C153" s="75">
        <f t="shared" si="155"/>
        <v>3.150684932</v>
      </c>
      <c r="D153" s="75">
        <f t="shared" si="155"/>
        <v>3.191780822</v>
      </c>
      <c r="E153" s="75">
        <f t="shared" si="155"/>
        <v>2.465909091</v>
      </c>
      <c r="F153" s="75">
        <f t="shared" si="155"/>
        <v>4.642857143</v>
      </c>
      <c r="G153" s="75">
        <f t="shared" si="155"/>
        <v>7.133333333</v>
      </c>
      <c r="H153" s="75">
        <f t="shared" si="155"/>
        <v>8.88</v>
      </c>
      <c r="I153" s="75">
        <f t="shared" si="155"/>
        <v>2.156862745</v>
      </c>
      <c r="J153" s="75">
        <f t="shared" si="155"/>
        <v>1.703286961</v>
      </c>
      <c r="K153" s="75">
        <f t="shared" si="155"/>
        <v>1.345095546</v>
      </c>
      <c r="L153" s="75">
        <f t="shared" si="155"/>
        <v>1.062229718</v>
      </c>
      <c r="M153" s="75">
        <f t="shared" si="155"/>
        <v>0.8388489402</v>
      </c>
      <c r="N153" s="75">
        <f t="shared" si="155"/>
        <v>0.6624438506</v>
      </c>
    </row>
    <row r="154" ht="15.75" customHeight="1">
      <c r="A154" s="65" t="s">
        <v>180</v>
      </c>
      <c r="B154" s="75">
        <f t="shared" ref="B154:N154" si="156">+IFERROR(B151/B161,"nm")</f>
        <v>0.4338842975</v>
      </c>
      <c r="C154" s="75">
        <f t="shared" si="156"/>
        <v>0.4500978474</v>
      </c>
      <c r="D154" s="75">
        <f t="shared" si="156"/>
        <v>0.4371482176</v>
      </c>
      <c r="E154" s="75">
        <f t="shared" si="156"/>
        <v>0.3634840871</v>
      </c>
      <c r="F154" s="75">
        <f t="shared" si="156"/>
        <v>0.2932330827</v>
      </c>
      <c r="G154" s="75">
        <f t="shared" si="156"/>
        <v>0.2578313253</v>
      </c>
      <c r="H154" s="75">
        <f t="shared" si="156"/>
        <v>0.2846153846</v>
      </c>
      <c r="I154" s="75">
        <f t="shared" si="156"/>
        <v>0.278833967</v>
      </c>
      <c r="J154" s="75">
        <f t="shared" si="156"/>
        <v>0.2615020035</v>
      </c>
      <c r="K154" s="75">
        <f t="shared" si="156"/>
        <v>0.2452473727</v>
      </c>
      <c r="L154" s="75">
        <f t="shared" si="156"/>
        <v>0.230003109</v>
      </c>
      <c r="M154" s="75">
        <f t="shared" si="156"/>
        <v>0.2157064093</v>
      </c>
      <c r="N154" s="75">
        <f t="shared" si="156"/>
        <v>0.2022983742</v>
      </c>
    </row>
    <row r="155" ht="15.75" customHeight="1">
      <c r="A155" s="28" t="s">
        <v>181</v>
      </c>
      <c r="B155" s="28">
        <f>+Historicals!B143</f>
        <v>-2267</v>
      </c>
      <c r="C155" s="28">
        <f>+Historicals!C143</f>
        <v>-2596</v>
      </c>
      <c r="D155" s="28">
        <f>+Historicals!D143</f>
        <v>-2677</v>
      </c>
      <c r="E155" s="28">
        <f>+Historicals!E143</f>
        <v>-2658</v>
      </c>
      <c r="F155" s="28">
        <f>+Historicals!F143</f>
        <v>-3262</v>
      </c>
      <c r="G155" s="28">
        <f>+Historicals!G143</f>
        <v>-3468</v>
      </c>
      <c r="H155" s="28">
        <f>+Historicals!H143</f>
        <v>-3656</v>
      </c>
      <c r="I155" s="28">
        <f>+Historicals!I143</f>
        <v>-4262</v>
      </c>
      <c r="J155" s="28">
        <f t="shared" ref="J155:N155" si="157">I155*(1+J156)</f>
        <v>-4675.770107</v>
      </c>
      <c r="K155" s="28">
        <f t="shared" si="157"/>
        <v>-5129.710486</v>
      </c>
      <c r="L155" s="28">
        <f t="shared" si="157"/>
        <v>-5627.72101</v>
      </c>
      <c r="M155" s="28">
        <f t="shared" si="157"/>
        <v>-6174.080166</v>
      </c>
      <c r="N155" s="28">
        <f t="shared" si="157"/>
        <v>-6773.481811</v>
      </c>
      <c r="O155" s="79"/>
      <c r="P155" s="79"/>
      <c r="Q155" s="79"/>
      <c r="R155" s="79"/>
      <c r="S155" s="79"/>
      <c r="T155" s="79"/>
      <c r="U155" s="79"/>
      <c r="V155" s="79"/>
      <c r="W155" s="79"/>
      <c r="X155" s="79"/>
      <c r="Y155" s="79"/>
      <c r="Z155" s="79"/>
    </row>
    <row r="156" ht="15.75" customHeight="1">
      <c r="A156" s="65" t="s">
        <v>138</v>
      </c>
      <c r="B156" s="75" t="str">
        <f t="shared" ref="B156:I156" si="158">+IFERROR(B155/A155-1,"nm")</f>
        <v>nm</v>
      </c>
      <c r="C156" s="75">
        <f t="shared" si="158"/>
        <v>0.1451257168</v>
      </c>
      <c r="D156" s="75">
        <f t="shared" si="158"/>
        <v>0.031201849</v>
      </c>
      <c r="E156" s="75">
        <f t="shared" si="158"/>
        <v>-0.007097497198</v>
      </c>
      <c r="F156" s="75">
        <f t="shared" si="158"/>
        <v>0.2272385252</v>
      </c>
      <c r="G156" s="75">
        <f t="shared" si="158"/>
        <v>0.06315144083</v>
      </c>
      <c r="H156" s="75">
        <f t="shared" si="158"/>
        <v>0.05420991926</v>
      </c>
      <c r="I156" s="75">
        <f t="shared" si="158"/>
        <v>0.1657549234</v>
      </c>
      <c r="J156" s="73">
        <f t="shared" ref="J156:J157" si="160">AVERAGE(C156:I156)</f>
        <v>0.0970835539</v>
      </c>
      <c r="K156" s="73">
        <v>0.09708355390323008</v>
      </c>
      <c r="L156" s="73">
        <v>0.09708355390323008</v>
      </c>
      <c r="M156" s="73">
        <v>0.09708355390323008</v>
      </c>
      <c r="N156" s="73">
        <v>0.09708355390323008</v>
      </c>
    </row>
    <row r="157" ht="15.75" customHeight="1">
      <c r="A157" s="65" t="s">
        <v>176</v>
      </c>
      <c r="B157" s="75">
        <f t="shared" ref="B157:I157" si="159">+IFERROR(B155/B$146,"nm")</f>
        <v>-19.71304348</v>
      </c>
      <c r="C157" s="75">
        <f t="shared" si="159"/>
        <v>-35.56164384</v>
      </c>
      <c r="D157" s="75">
        <f t="shared" si="159"/>
        <v>-36.67123288</v>
      </c>
      <c r="E157" s="75">
        <f t="shared" si="159"/>
        <v>-30.20454545</v>
      </c>
      <c r="F157" s="75">
        <f t="shared" si="159"/>
        <v>-77.66666667</v>
      </c>
      <c r="G157" s="75">
        <f t="shared" si="159"/>
        <v>-115.6</v>
      </c>
      <c r="H157" s="75">
        <f t="shared" si="159"/>
        <v>-146.24</v>
      </c>
      <c r="I157" s="75">
        <f t="shared" si="159"/>
        <v>-41.78431373</v>
      </c>
      <c r="J157" s="73">
        <f t="shared" si="160"/>
        <v>-69.10405751</v>
      </c>
      <c r="K157" s="73">
        <v>0.20326799433368023</v>
      </c>
      <c r="L157" s="73">
        <v>0.20326799433368023</v>
      </c>
      <c r="M157" s="73">
        <v>0.20326799433368023</v>
      </c>
      <c r="N157" s="73">
        <v>0.20326799433368023</v>
      </c>
    </row>
    <row r="158" ht="15.75" customHeight="1">
      <c r="A158" s="28" t="s">
        <v>182</v>
      </c>
      <c r="B158" s="28">
        <f>+Historicals!B165</f>
        <v>225</v>
      </c>
      <c r="C158" s="28">
        <f>+Historicals!C165</f>
        <v>258</v>
      </c>
      <c r="D158" s="28">
        <f>+Historicals!D165</f>
        <v>278</v>
      </c>
      <c r="E158" s="28">
        <f>+Historicals!E165</f>
        <v>286</v>
      </c>
      <c r="F158" s="28">
        <f>+Historicals!F165</f>
        <v>278</v>
      </c>
      <c r="G158" s="28">
        <f>+Historicals!G165</f>
        <v>438</v>
      </c>
      <c r="H158" s="28">
        <f>+Historicals!H165</f>
        <v>278</v>
      </c>
      <c r="I158" s="28">
        <f>+Historicals!I165</f>
        <v>222</v>
      </c>
      <c r="J158" s="28">
        <f t="shared" ref="J158:N158" si="161">I158*(1+J159)</f>
        <v>229.4146387</v>
      </c>
      <c r="K158" s="28">
        <f t="shared" si="161"/>
        <v>237.0769209</v>
      </c>
      <c r="L158" s="28">
        <f t="shared" si="161"/>
        <v>244.9951177</v>
      </c>
      <c r="M158" s="28">
        <f t="shared" si="161"/>
        <v>253.1777766</v>
      </c>
      <c r="N158" s="28">
        <f t="shared" si="161"/>
        <v>261.6337303</v>
      </c>
      <c r="O158" s="79"/>
      <c r="P158" s="79"/>
      <c r="Q158" s="79"/>
      <c r="R158" s="79"/>
      <c r="S158" s="79"/>
      <c r="T158" s="79"/>
      <c r="U158" s="79"/>
      <c r="V158" s="79"/>
      <c r="W158" s="79"/>
      <c r="X158" s="79"/>
      <c r="Y158" s="79"/>
      <c r="Z158" s="79"/>
    </row>
    <row r="159" ht="15.75" customHeight="1">
      <c r="A159" s="65" t="s">
        <v>138</v>
      </c>
      <c r="B159" s="75" t="str">
        <f t="shared" ref="B159:I159" si="162">+IFERROR(B158/A158-1,"nm")</f>
        <v>nm</v>
      </c>
      <c r="C159" s="75">
        <f t="shared" si="162"/>
        <v>0.1466666667</v>
      </c>
      <c r="D159" s="75">
        <f t="shared" si="162"/>
        <v>0.07751937984</v>
      </c>
      <c r="E159" s="75">
        <f t="shared" si="162"/>
        <v>0.02877697842</v>
      </c>
      <c r="F159" s="75">
        <f t="shared" si="162"/>
        <v>-0.02797202797</v>
      </c>
      <c r="G159" s="75">
        <f t="shared" si="162"/>
        <v>0.5755395683</v>
      </c>
      <c r="H159" s="75">
        <f t="shared" si="162"/>
        <v>-0.3652968037</v>
      </c>
      <c r="I159" s="75">
        <f t="shared" si="162"/>
        <v>-0.2014388489</v>
      </c>
      <c r="J159" s="73">
        <f t="shared" ref="J159:J160" si="164">AVERAGE(C159:I159)</f>
        <v>0.03339927325</v>
      </c>
      <c r="K159" s="73">
        <v>0.033399273246908355</v>
      </c>
      <c r="L159" s="73">
        <v>0.033399273246908355</v>
      </c>
      <c r="M159" s="73">
        <v>0.033399273246908355</v>
      </c>
      <c r="N159" s="73">
        <v>0.033399273246908355</v>
      </c>
    </row>
    <row r="160" ht="15.75" customHeight="1">
      <c r="A160" s="65" t="s">
        <v>179</v>
      </c>
      <c r="B160" s="75">
        <f t="shared" ref="B160:I160" si="163">+IFERROR(B158/B$146,"nm")</f>
        <v>1.956521739</v>
      </c>
      <c r="C160" s="75">
        <f t="shared" si="163"/>
        <v>3.534246575</v>
      </c>
      <c r="D160" s="75">
        <f t="shared" si="163"/>
        <v>3.808219178</v>
      </c>
      <c r="E160" s="75">
        <f t="shared" si="163"/>
        <v>3.25</v>
      </c>
      <c r="F160" s="75">
        <f t="shared" si="163"/>
        <v>6.619047619</v>
      </c>
      <c r="G160" s="75">
        <f t="shared" si="163"/>
        <v>14.6</v>
      </c>
      <c r="H160" s="75">
        <f t="shared" si="163"/>
        <v>11.12</v>
      </c>
      <c r="I160" s="75">
        <f t="shared" si="163"/>
        <v>2.176470588</v>
      </c>
      <c r="J160" s="73">
        <f t="shared" si="164"/>
        <v>6.443997709</v>
      </c>
      <c r="K160" s="73">
        <v>6.44399770867251</v>
      </c>
      <c r="L160" s="73">
        <v>6.44399770867251</v>
      </c>
      <c r="M160" s="73">
        <v>6.44399770867251</v>
      </c>
      <c r="N160" s="73">
        <v>6.44399770867251</v>
      </c>
    </row>
    <row r="161" ht="15.75" customHeight="1">
      <c r="A161" s="28" t="s">
        <v>183</v>
      </c>
      <c r="B161" s="28">
        <f>+Historicals!B154</f>
        <v>484</v>
      </c>
      <c r="C161" s="28">
        <f>+Historicals!C154</f>
        <v>511</v>
      </c>
      <c r="D161" s="28">
        <f>+Historicals!D154</f>
        <v>533</v>
      </c>
      <c r="E161" s="28">
        <f>+Historicals!E154</f>
        <v>597</v>
      </c>
      <c r="F161" s="28">
        <f>+Historicals!F154</f>
        <v>665</v>
      </c>
      <c r="G161" s="28">
        <f>+Historicals!G154</f>
        <v>830</v>
      </c>
      <c r="H161" s="85">
        <f>+Historicals!H154</f>
        <v>780</v>
      </c>
      <c r="I161" s="85">
        <f>+Historicals!I154</f>
        <v>789</v>
      </c>
      <c r="J161" s="28">
        <f t="shared" ref="J161:N161" si="165">I161*(1+J162)</f>
        <v>848.9903362</v>
      </c>
      <c r="K161" s="28">
        <f t="shared" si="165"/>
        <v>913.5419404</v>
      </c>
      <c r="L161" s="28">
        <f t="shared" si="165"/>
        <v>983.0016211</v>
      </c>
      <c r="M161" s="28">
        <f t="shared" si="165"/>
        <v>1057.742556</v>
      </c>
      <c r="N161" s="28">
        <f t="shared" si="165"/>
        <v>1138.166297</v>
      </c>
      <c r="O161" s="79"/>
      <c r="P161" s="79"/>
      <c r="Q161" s="79"/>
      <c r="R161" s="79"/>
      <c r="S161" s="79"/>
      <c r="T161" s="79"/>
      <c r="U161" s="79"/>
      <c r="V161" s="79"/>
      <c r="W161" s="79"/>
      <c r="X161" s="79"/>
      <c r="Y161" s="79"/>
      <c r="Z161" s="79"/>
    </row>
    <row r="162" ht="15.75" customHeight="1">
      <c r="A162" s="65" t="s">
        <v>138</v>
      </c>
      <c r="B162" s="75" t="str">
        <f t="shared" ref="B162:I162" si="166">+IFERROR(B161/A161-1,"nm")</f>
        <v>nm</v>
      </c>
      <c r="C162" s="75">
        <f t="shared" si="166"/>
        <v>0.05578512397</v>
      </c>
      <c r="D162" s="75">
        <f t="shared" si="166"/>
        <v>0.04305283757</v>
      </c>
      <c r="E162" s="75">
        <f t="shared" si="166"/>
        <v>0.1200750469</v>
      </c>
      <c r="F162" s="75">
        <f t="shared" si="166"/>
        <v>0.1139028476</v>
      </c>
      <c r="G162" s="75">
        <f t="shared" si="166"/>
        <v>0.2481203008</v>
      </c>
      <c r="H162" s="83">
        <f t="shared" si="166"/>
        <v>-0.06024096386</v>
      </c>
      <c r="I162" s="83">
        <f t="shared" si="166"/>
        <v>0.01153846154</v>
      </c>
      <c r="J162" s="73">
        <f t="shared" ref="J162:J163" si="168">AVERAGE(C162:I162)</f>
        <v>0.07603337921</v>
      </c>
      <c r="K162" s="73">
        <v>0.07603337920725027</v>
      </c>
      <c r="L162" s="73">
        <v>0.07603337920725027</v>
      </c>
      <c r="M162" s="73">
        <v>0.07603337920725027</v>
      </c>
      <c r="N162" s="73">
        <v>0.07603337920725027</v>
      </c>
    </row>
    <row r="163" ht="15.75" customHeight="1">
      <c r="A163" s="65" t="s">
        <v>179</v>
      </c>
      <c r="B163" s="75">
        <f t="shared" ref="B163:I163" si="167">+IFERROR(B161/B$146,"nm")</f>
        <v>4.208695652</v>
      </c>
      <c r="C163" s="75">
        <f t="shared" si="167"/>
        <v>7</v>
      </c>
      <c r="D163" s="75">
        <f t="shared" si="167"/>
        <v>7.301369863</v>
      </c>
      <c r="E163" s="75">
        <f t="shared" si="167"/>
        <v>6.784090909</v>
      </c>
      <c r="F163" s="75">
        <f t="shared" si="167"/>
        <v>15.83333333</v>
      </c>
      <c r="G163" s="75">
        <f t="shared" si="167"/>
        <v>27.66666667</v>
      </c>
      <c r="H163" s="83">
        <f t="shared" si="167"/>
        <v>31.2</v>
      </c>
      <c r="I163" s="83">
        <f t="shared" si="167"/>
        <v>7.735294118</v>
      </c>
      <c r="J163" s="73">
        <f t="shared" si="168"/>
        <v>14.78867927</v>
      </c>
      <c r="K163" s="73">
        <v>0.08813382650034338</v>
      </c>
      <c r="L163" s="73">
        <v>0.08813382650034338</v>
      </c>
      <c r="M163" s="73">
        <v>0.08813382650034338</v>
      </c>
      <c r="N163" s="73">
        <v>0.08813382650034338</v>
      </c>
    </row>
    <row r="164" ht="15.75" customHeight="1">
      <c r="A164" s="72" t="s">
        <v>153</v>
      </c>
    </row>
    <row r="165" ht="15.75" customHeight="1">
      <c r="A165" s="28" t="s">
        <v>184</v>
      </c>
      <c r="B165" s="44">
        <v>1982.0</v>
      </c>
      <c r="C165" s="44">
        <v>1955.0</v>
      </c>
      <c r="D165" s="44">
        <v>2042.0</v>
      </c>
      <c r="E165" s="28">
        <f t="shared" ref="E165:F165" si="169">E167+E171+E175+E179</f>
        <v>1886</v>
      </c>
      <c r="F165" s="28">
        <f t="shared" si="169"/>
        <v>1906</v>
      </c>
      <c r="G165" s="28">
        <f>G167+G171+G175+G179+G183</f>
        <v>2168</v>
      </c>
      <c r="H165" s="28">
        <f t="shared" ref="H165:I165" si="170">H167+H171+H175+H179</f>
        <v>2205</v>
      </c>
      <c r="I165" s="28">
        <f t="shared" si="170"/>
        <v>2346</v>
      </c>
      <c r="J165" s="23">
        <f t="shared" ref="J165:N165" si="171">J167+J171+J175</f>
        <v>2364.187233</v>
      </c>
      <c r="K165" s="23">
        <f t="shared" si="171"/>
        <v>2516.349692</v>
      </c>
      <c r="L165" s="23">
        <f t="shared" si="171"/>
        <v>2680.201341</v>
      </c>
      <c r="M165" s="23">
        <f t="shared" si="171"/>
        <v>2856.510968</v>
      </c>
      <c r="N165" s="23">
        <f t="shared" si="171"/>
        <v>3046.105789</v>
      </c>
    </row>
    <row r="166" ht="15.75" customHeight="1">
      <c r="A166" s="65" t="s">
        <v>138</v>
      </c>
      <c r="B166" s="75" t="str">
        <f>+IFERROR(B146/A146-1,"nm")</f>
        <v>nm</v>
      </c>
      <c r="C166" s="75">
        <f>(C165-B165)/B165</f>
        <v>-0.01362260343</v>
      </c>
      <c r="D166" s="75">
        <f t="shared" ref="D166:N166" si="172">+IFERROR(D165/C165-1,"nm")</f>
        <v>0.04450127877</v>
      </c>
      <c r="E166" s="75">
        <f t="shared" si="172"/>
        <v>-0.0763956905</v>
      </c>
      <c r="F166" s="75">
        <f t="shared" si="172"/>
        <v>0.01060445387</v>
      </c>
      <c r="G166" s="75">
        <f t="shared" si="172"/>
        <v>0.1374606506</v>
      </c>
      <c r="H166" s="75">
        <f t="shared" si="172"/>
        <v>0.01706642066</v>
      </c>
      <c r="I166" s="75">
        <f t="shared" si="172"/>
        <v>0.06394557823</v>
      </c>
      <c r="J166" s="73">
        <f t="shared" si="172"/>
        <v>0.007752443807</v>
      </c>
      <c r="K166" s="73">
        <f t="shared" si="172"/>
        <v>0.06436142485</v>
      </c>
      <c r="L166" s="73">
        <f t="shared" si="172"/>
        <v>0.06511481655</v>
      </c>
      <c r="M166" s="73">
        <f t="shared" si="172"/>
        <v>0.06578223233</v>
      </c>
      <c r="N166" s="73">
        <f t="shared" si="172"/>
        <v>0.06637286659</v>
      </c>
    </row>
    <row r="167" ht="15.75" customHeight="1">
      <c r="A167" s="76" t="s">
        <v>145</v>
      </c>
      <c r="B167" s="23" t="str">
        <f>+Historicals!B131</f>
        <v/>
      </c>
      <c r="C167" s="23" t="str">
        <f>+Historicals!C131</f>
        <v/>
      </c>
      <c r="D167" s="23" t="str">
        <f>+Historicals!D131</f>
        <v/>
      </c>
      <c r="E167" s="23">
        <f>+Historicals!E131</f>
        <v>1611</v>
      </c>
      <c r="F167" s="23">
        <f>+Historicals!F131</f>
        <v>1658</v>
      </c>
      <c r="G167" s="23">
        <f>+Historicals!G131</f>
        <v>1642</v>
      </c>
      <c r="H167" s="23">
        <f>+Historicals!H131</f>
        <v>1986</v>
      </c>
      <c r="I167" s="23">
        <f>+Historicals!I131</f>
        <v>2094</v>
      </c>
      <c r="J167" s="23">
        <f t="shared" ref="J167:N167" si="173">I167*(1+J168)</f>
        <v>2242.362789</v>
      </c>
      <c r="K167" s="23">
        <f t="shared" si="173"/>
        <v>2401.237286</v>
      </c>
      <c r="L167" s="23">
        <f t="shared" si="173"/>
        <v>2571.368261</v>
      </c>
      <c r="M167" s="23">
        <f t="shared" si="173"/>
        <v>2753.55325</v>
      </c>
      <c r="N167" s="23">
        <f t="shared" si="173"/>
        <v>2948.646296</v>
      </c>
    </row>
    <row r="168" ht="15.75" customHeight="1">
      <c r="A168" s="65" t="s">
        <v>138</v>
      </c>
      <c r="B168" s="75" t="str">
        <f t="shared" ref="B168:I168" si="174">+IFERROR(B167/A167-1,"nm")</f>
        <v>nm</v>
      </c>
      <c r="C168" s="75" t="str">
        <f t="shared" si="174"/>
        <v>nm</v>
      </c>
      <c r="D168" s="75" t="str">
        <f t="shared" si="174"/>
        <v>nm</v>
      </c>
      <c r="E168" s="75" t="str">
        <f t="shared" si="174"/>
        <v>nm</v>
      </c>
      <c r="F168" s="75">
        <f t="shared" si="174"/>
        <v>0.02917442582</v>
      </c>
      <c r="G168" s="75">
        <f t="shared" si="174"/>
        <v>-0.009650180941</v>
      </c>
      <c r="H168" s="75">
        <f t="shared" si="174"/>
        <v>0.209500609</v>
      </c>
      <c r="I168" s="75">
        <f t="shared" si="174"/>
        <v>0.05438066465</v>
      </c>
      <c r="J168" s="73">
        <f>AVERAGE(C168:I168)</f>
        <v>0.07085137964</v>
      </c>
      <c r="K168" s="73">
        <v>0.07085137963688604</v>
      </c>
      <c r="L168" s="73">
        <v>0.07085137963688604</v>
      </c>
      <c r="M168" s="73">
        <v>0.07085137963688604</v>
      </c>
      <c r="N168" s="73">
        <v>0.07085137963688604</v>
      </c>
    </row>
    <row r="169" ht="15.75" customHeight="1">
      <c r="A169" s="65" t="s">
        <v>185</v>
      </c>
      <c r="B169" s="75" t="str">
        <f>+Historicals!B308</f>
        <v/>
      </c>
      <c r="C169" s="52">
        <v>0.08477999781635549</v>
      </c>
      <c r="D169" s="52">
        <v>0.0608927582909768</v>
      </c>
      <c r="E169" s="52">
        <v>0.056306626820359564</v>
      </c>
      <c r="F169" s="52">
        <v>0.08774923657266032</v>
      </c>
      <c r="G169" s="52">
        <v>-0.03785814548757328</v>
      </c>
      <c r="H169" s="52">
        <v>-0.9147822355717657</v>
      </c>
      <c r="I169" s="55">
        <v>0.06</v>
      </c>
      <c r="J169" s="73">
        <f>J168-J170</f>
        <v>0.07085137964</v>
      </c>
      <c r="K169" s="73">
        <v>0.07085137963688604</v>
      </c>
      <c r="L169" s="73">
        <v>0.07085137963688604</v>
      </c>
      <c r="M169" s="73">
        <v>0.07085137963688604</v>
      </c>
      <c r="N169" s="73">
        <v>0.07085137963688604</v>
      </c>
    </row>
    <row r="170" ht="15.75" customHeight="1">
      <c r="A170" s="65" t="s">
        <v>186</v>
      </c>
      <c r="B170" s="75" t="str">
        <f t="shared" ref="B170:I170" si="175">+IFERROR(B168-B169,"nm")</f>
        <v>nm</v>
      </c>
      <c r="C170" s="75" t="str">
        <f t="shared" si="175"/>
        <v>nm</v>
      </c>
      <c r="D170" s="75" t="str">
        <f t="shared" si="175"/>
        <v>nm</v>
      </c>
      <c r="E170" s="75" t="str">
        <f t="shared" si="175"/>
        <v>nm</v>
      </c>
      <c r="F170" s="75">
        <f t="shared" si="175"/>
        <v>-0.05857481075</v>
      </c>
      <c r="G170" s="75">
        <f t="shared" si="175"/>
        <v>0.02820796455</v>
      </c>
      <c r="H170" s="75">
        <f t="shared" si="175"/>
        <v>1.124282845</v>
      </c>
      <c r="I170" s="75">
        <f t="shared" si="175"/>
        <v>-0.005619335347</v>
      </c>
      <c r="J170" s="73">
        <v>0.0</v>
      </c>
      <c r="K170" s="73">
        <v>0.0</v>
      </c>
      <c r="L170" s="73">
        <v>0.0</v>
      </c>
      <c r="M170" s="73">
        <v>0.0</v>
      </c>
      <c r="N170" s="73">
        <v>0.0</v>
      </c>
    </row>
    <row r="171" ht="15.75" customHeight="1">
      <c r="A171" s="76" t="s">
        <v>146</v>
      </c>
      <c r="B171" s="23" t="str">
        <f>+Historicals!B132</f>
        <v/>
      </c>
      <c r="C171" s="23" t="str">
        <f>+Historicals!C132</f>
        <v/>
      </c>
      <c r="D171" s="23" t="str">
        <f>+Historicals!D132</f>
        <v/>
      </c>
      <c r="E171" s="23">
        <f>+Historicals!E132</f>
        <v>144</v>
      </c>
      <c r="F171" s="23">
        <f>+Historicals!F132</f>
        <v>118</v>
      </c>
      <c r="G171" s="23">
        <f>+Historicals!G132</f>
        <v>89</v>
      </c>
      <c r="H171" s="23">
        <f>+Historicals!H132</f>
        <v>104</v>
      </c>
      <c r="I171" s="23">
        <f>+Historicals!I132</f>
        <v>103</v>
      </c>
      <c r="J171" s="23">
        <f t="shared" ref="J171:N171" si="176">I171*(1+J172)</f>
        <v>96.1145961</v>
      </c>
      <c r="K171" s="23">
        <f t="shared" si="176"/>
        <v>89.68947169</v>
      </c>
      <c r="L171" s="23">
        <f t="shared" si="176"/>
        <v>83.69385772</v>
      </c>
      <c r="M171" s="23">
        <f t="shared" si="176"/>
        <v>78.09904205</v>
      </c>
      <c r="N171" s="23">
        <f t="shared" si="176"/>
        <v>72.87823187</v>
      </c>
    </row>
    <row r="172" ht="15.75" customHeight="1">
      <c r="A172" s="65" t="s">
        <v>138</v>
      </c>
      <c r="B172" s="75" t="str">
        <f t="shared" ref="B172:I172" si="177">+IFERROR(B171/A171-1,"nm")</f>
        <v>nm</v>
      </c>
      <c r="C172" s="75" t="str">
        <f t="shared" si="177"/>
        <v>nm</v>
      </c>
      <c r="D172" s="75" t="str">
        <f t="shared" si="177"/>
        <v>nm</v>
      </c>
      <c r="E172" s="75" t="str">
        <f t="shared" si="177"/>
        <v>nm</v>
      </c>
      <c r="F172" s="75">
        <f t="shared" si="177"/>
        <v>-0.1805555556</v>
      </c>
      <c r="G172" s="75">
        <f t="shared" si="177"/>
        <v>-0.2457627119</v>
      </c>
      <c r="H172" s="75">
        <f t="shared" si="177"/>
        <v>0.1685393258</v>
      </c>
      <c r="I172" s="75">
        <f t="shared" si="177"/>
        <v>-0.009615384615</v>
      </c>
      <c r="J172" s="73">
        <f>AVERAGE(C172:I172)</f>
        <v>-0.06684858155</v>
      </c>
      <c r="K172" s="73">
        <v>-0.06684858154816259</v>
      </c>
      <c r="L172" s="73">
        <v>-0.06684858154816259</v>
      </c>
      <c r="M172" s="73">
        <v>-0.06684858154816259</v>
      </c>
      <c r="N172" s="73">
        <v>-0.06684858154816259</v>
      </c>
    </row>
    <row r="173" ht="15.75" customHeight="1">
      <c r="A173" s="65" t="s">
        <v>185</v>
      </c>
      <c r="B173" s="75" t="str">
        <f>+Historicals!B312</f>
        <v/>
      </c>
      <c r="C173" s="52">
        <v>0.04978580525645479</v>
      </c>
      <c r="D173" s="52">
        <v>0.06474026690195213</v>
      </c>
      <c r="E173" s="52">
        <v>0.11176714315309716</v>
      </c>
      <c r="F173" s="52">
        <v>0.07612037640920526</v>
      </c>
      <c r="G173" s="52">
        <v>-0.051688311688311686</v>
      </c>
      <c r="H173" s="52">
        <v>-0.9905048845065278</v>
      </c>
      <c r="I173" s="55">
        <v>-0.03</v>
      </c>
      <c r="J173" s="73">
        <f>J172-J174</f>
        <v>-0.06684858155</v>
      </c>
      <c r="K173" s="73">
        <v>-0.06684858154816259</v>
      </c>
      <c r="L173" s="73">
        <v>-0.06684858154816259</v>
      </c>
      <c r="M173" s="73">
        <v>-0.06684858154816259</v>
      </c>
      <c r="N173" s="73">
        <v>-0.06684858154816259</v>
      </c>
    </row>
    <row r="174" ht="15.75" customHeight="1">
      <c r="A174" s="65" t="s">
        <v>186</v>
      </c>
      <c r="B174" s="75" t="str">
        <f t="shared" ref="B174:I174" si="178">+IFERROR(B172-B173,"nm")</f>
        <v>nm</v>
      </c>
      <c r="C174" s="75" t="str">
        <f t="shared" si="178"/>
        <v>nm</v>
      </c>
      <c r="D174" s="75" t="str">
        <f t="shared" si="178"/>
        <v>nm</v>
      </c>
      <c r="E174" s="75" t="str">
        <f t="shared" si="178"/>
        <v>nm</v>
      </c>
      <c r="F174" s="75">
        <f t="shared" si="178"/>
        <v>-0.256675932</v>
      </c>
      <c r="G174" s="75">
        <f t="shared" si="178"/>
        <v>-0.1940744002</v>
      </c>
      <c r="H174" s="75">
        <f t="shared" si="178"/>
        <v>1.15904421</v>
      </c>
      <c r="I174" s="75">
        <f t="shared" si="178"/>
        <v>0.02038461538</v>
      </c>
      <c r="J174" s="73">
        <v>0.0</v>
      </c>
      <c r="K174" s="73">
        <v>0.0</v>
      </c>
      <c r="L174" s="73">
        <v>0.0</v>
      </c>
      <c r="M174" s="73">
        <v>0.0</v>
      </c>
      <c r="N174" s="73">
        <v>0.0</v>
      </c>
    </row>
    <row r="175" ht="15.75" customHeight="1">
      <c r="A175" s="76" t="s">
        <v>147</v>
      </c>
      <c r="B175" s="23" t="str">
        <f>+Historicals!B133</f>
        <v/>
      </c>
      <c r="C175" s="23" t="str">
        <f>+Historicals!C133</f>
        <v/>
      </c>
      <c r="D175" s="23" t="str">
        <f>+Historicals!D133</f>
        <v/>
      </c>
      <c r="E175" s="23">
        <f>+Historicals!E133</f>
        <v>28</v>
      </c>
      <c r="F175" s="23">
        <f>+Historicals!F133</f>
        <v>24</v>
      </c>
      <c r="G175" s="23">
        <f>+Historicals!G133</f>
        <v>25</v>
      </c>
      <c r="H175" s="23">
        <f>+Historicals!H133</f>
        <v>29</v>
      </c>
      <c r="I175" s="23">
        <f>+Historicals!I133</f>
        <v>26</v>
      </c>
      <c r="J175" s="23">
        <f t="shared" ref="J175:N175" si="179">I175*(1+J176)</f>
        <v>25.70984811</v>
      </c>
      <c r="K175" s="23">
        <f t="shared" si="179"/>
        <v>25.42293423</v>
      </c>
      <c r="L175" s="23">
        <f t="shared" si="179"/>
        <v>25.13922221</v>
      </c>
      <c r="M175" s="23">
        <f t="shared" si="179"/>
        <v>24.85867634</v>
      </c>
      <c r="N175" s="23">
        <f t="shared" si="179"/>
        <v>24.58126126</v>
      </c>
    </row>
    <row r="176" ht="15.75" customHeight="1">
      <c r="A176" s="65" t="s">
        <v>138</v>
      </c>
      <c r="B176" s="75" t="str">
        <f>+IFERROR(B179/A179-1,"nm")</f>
        <v>nm</v>
      </c>
      <c r="C176" s="75" t="str">
        <f t="shared" ref="C176:I176" si="180">+IFERROR(C175/B175-1,"nm")</f>
        <v>nm</v>
      </c>
      <c r="D176" s="75" t="str">
        <f t="shared" si="180"/>
        <v>nm</v>
      </c>
      <c r="E176" s="75" t="str">
        <f t="shared" si="180"/>
        <v>nm</v>
      </c>
      <c r="F176" s="75">
        <f t="shared" si="180"/>
        <v>-0.1428571429</v>
      </c>
      <c r="G176" s="75">
        <f t="shared" si="180"/>
        <v>0.04166666667</v>
      </c>
      <c r="H176" s="75">
        <f t="shared" si="180"/>
        <v>0.16</v>
      </c>
      <c r="I176" s="75">
        <f t="shared" si="180"/>
        <v>-0.1034482759</v>
      </c>
      <c r="J176" s="73">
        <f>AVERAGE(C176:I176)</f>
        <v>-0.01115968801</v>
      </c>
      <c r="K176" s="73">
        <v>-0.011159688013136299</v>
      </c>
      <c r="L176" s="73">
        <v>-0.011159688013136299</v>
      </c>
      <c r="M176" s="73">
        <v>-0.011159688013136299</v>
      </c>
      <c r="N176" s="73">
        <v>-0.011159688013136299</v>
      </c>
    </row>
    <row r="177" ht="15.75" customHeight="1">
      <c r="A177" s="65" t="s">
        <v>185</v>
      </c>
      <c r="B177" s="75" t="str">
        <f>+Historicals!B310</f>
        <v/>
      </c>
      <c r="C177" s="52">
        <v>-0.16331096196868009</v>
      </c>
      <c r="D177" s="52">
        <v>-0.047459893048128345</v>
      </c>
      <c r="E177" s="52">
        <v>-0.020350877192982456</v>
      </c>
      <c r="F177" s="52">
        <v>0.0057306590257879654</v>
      </c>
      <c r="G177" s="52">
        <v>-0.08831908831908832</v>
      </c>
      <c r="H177" s="52">
        <v>-0.97734375</v>
      </c>
      <c r="I177" s="55">
        <v>-0.16</v>
      </c>
      <c r="J177" s="73">
        <f>J176-J178</f>
        <v>-0.01115968801</v>
      </c>
      <c r="K177" s="73">
        <v>-0.011159688013136299</v>
      </c>
      <c r="L177" s="73">
        <v>-0.011159688013136299</v>
      </c>
      <c r="M177" s="73">
        <v>-0.011159688013136299</v>
      </c>
      <c r="N177" s="73">
        <v>-0.011159688013136299</v>
      </c>
    </row>
    <row r="178" ht="15.75" customHeight="1">
      <c r="A178" s="65" t="s">
        <v>186</v>
      </c>
      <c r="B178" s="75" t="str">
        <f t="shared" ref="B178:I178" si="181">+IFERROR(B176-B177,"nm")</f>
        <v>nm</v>
      </c>
      <c r="C178" s="75" t="str">
        <f t="shared" si="181"/>
        <v>nm</v>
      </c>
      <c r="D178" s="75" t="str">
        <f t="shared" si="181"/>
        <v>nm</v>
      </c>
      <c r="E178" s="75" t="str">
        <f t="shared" si="181"/>
        <v>nm</v>
      </c>
      <c r="F178" s="75">
        <f t="shared" si="181"/>
        <v>-0.1485878019</v>
      </c>
      <c r="G178" s="75">
        <f t="shared" si="181"/>
        <v>0.129985755</v>
      </c>
      <c r="H178" s="75">
        <f t="shared" si="181"/>
        <v>1.13734375</v>
      </c>
      <c r="I178" s="75">
        <f t="shared" si="181"/>
        <v>0.05655172414</v>
      </c>
      <c r="J178" s="73">
        <v>0.0</v>
      </c>
      <c r="K178" s="73">
        <v>0.0</v>
      </c>
      <c r="L178" s="73">
        <v>0.0</v>
      </c>
      <c r="M178" s="73">
        <v>0.0</v>
      </c>
      <c r="N178" s="73">
        <v>0.0</v>
      </c>
    </row>
    <row r="179" ht="15.75" customHeight="1">
      <c r="A179" s="84" t="s">
        <v>154</v>
      </c>
      <c r="B179" s="44">
        <f>+Historicals!B134</f>
        <v>0</v>
      </c>
      <c r="C179" s="44">
        <f>+Historicals!C134</f>
        <v>0</v>
      </c>
      <c r="D179" s="44">
        <f>+Historicals!D134</f>
        <v>0</v>
      </c>
      <c r="E179" s="44">
        <f>+Historicals!E134</f>
        <v>103</v>
      </c>
      <c r="F179" s="44">
        <f>+Historicals!F134</f>
        <v>106</v>
      </c>
      <c r="G179" s="44">
        <f>+Historicals!G134</f>
        <v>90</v>
      </c>
      <c r="H179" s="44">
        <f>+Historicals!H134</f>
        <v>86</v>
      </c>
      <c r="I179" s="44">
        <f>+Historicals!I134</f>
        <v>123</v>
      </c>
      <c r="J179" s="23">
        <f t="shared" ref="J179:N179" si="182">I179*(1+J180)</f>
        <v>131.1171061</v>
      </c>
      <c r="K179" s="23">
        <f t="shared" si="182"/>
        <v>139.7698823</v>
      </c>
      <c r="L179" s="23">
        <f t="shared" si="182"/>
        <v>148.9936788</v>
      </c>
      <c r="M179" s="23">
        <f t="shared" si="182"/>
        <v>158.8261788</v>
      </c>
      <c r="N179" s="23">
        <f t="shared" si="182"/>
        <v>169.3075524</v>
      </c>
    </row>
    <row r="180" ht="15.75" customHeight="1">
      <c r="A180" s="82" t="s">
        <v>188</v>
      </c>
      <c r="B180" s="83" t="s">
        <v>200</v>
      </c>
      <c r="C180" s="83" t="str">
        <f t="shared" ref="C180:I180" si="183">+IFERROR(C179/B179-1,"nm")</f>
        <v>nm</v>
      </c>
      <c r="D180" s="83" t="str">
        <f t="shared" si="183"/>
        <v>nm</v>
      </c>
      <c r="E180" s="83" t="str">
        <f t="shared" si="183"/>
        <v>nm</v>
      </c>
      <c r="F180" s="83">
        <f t="shared" si="183"/>
        <v>0.02912621359</v>
      </c>
      <c r="G180" s="83">
        <f t="shared" si="183"/>
        <v>-0.1509433962</v>
      </c>
      <c r="H180" s="83">
        <f t="shared" si="183"/>
        <v>-0.04444444444</v>
      </c>
      <c r="I180" s="83">
        <f t="shared" si="183"/>
        <v>0.4302325581</v>
      </c>
      <c r="J180" s="73">
        <f>AVERAGE(C180:I180)</f>
        <v>0.06599273277</v>
      </c>
      <c r="K180" s="73">
        <v>0.06599273276522713</v>
      </c>
      <c r="L180" s="73">
        <v>0.06599273276522713</v>
      </c>
      <c r="M180" s="73">
        <v>0.06599273276522713</v>
      </c>
      <c r="N180" s="73">
        <v>0.06599273276522713</v>
      </c>
    </row>
    <row r="181" ht="15.75" customHeight="1">
      <c r="A181" s="82" t="s">
        <v>190</v>
      </c>
      <c r="B181" s="83">
        <v>0.0</v>
      </c>
      <c r="C181" s="83">
        <v>0.0</v>
      </c>
      <c r="D181" s="83">
        <v>0.0</v>
      </c>
      <c r="E181" s="83">
        <v>0.0</v>
      </c>
      <c r="F181" s="52">
        <v>0.02912621359223301</v>
      </c>
      <c r="G181" s="52">
        <v>-0.1509433962264151</v>
      </c>
      <c r="H181" s="52">
        <v>-0.044444444444444446</v>
      </c>
      <c r="I181" s="55">
        <v>0.42</v>
      </c>
      <c r="J181" s="73">
        <f>J180-J182%</f>
        <v>0.06599273277</v>
      </c>
      <c r="K181" s="73">
        <v>0.06599273276522713</v>
      </c>
      <c r="L181" s="73">
        <v>0.06599273276522713</v>
      </c>
      <c r="M181" s="73">
        <v>0.06599273276522713</v>
      </c>
      <c r="N181" s="73">
        <v>0.06599273276522713</v>
      </c>
    </row>
    <row r="182" ht="15.75" customHeight="1">
      <c r="A182" s="82" t="s">
        <v>191</v>
      </c>
      <c r="B182" s="83" t="str">
        <f t="shared" ref="B182:I182" si="184">+IFERROR(B180-B181,"nm")</f>
        <v>nm</v>
      </c>
      <c r="C182" s="83" t="str">
        <f t="shared" si="184"/>
        <v>nm</v>
      </c>
      <c r="D182" s="83" t="str">
        <f t="shared" si="184"/>
        <v>nm</v>
      </c>
      <c r="E182" s="83" t="str">
        <f t="shared" si="184"/>
        <v>nm</v>
      </c>
      <c r="F182" s="83">
        <f t="shared" si="184"/>
        <v>0</v>
      </c>
      <c r="G182" s="83">
        <f t="shared" si="184"/>
        <v>0</v>
      </c>
      <c r="H182" s="83">
        <f t="shared" si="184"/>
        <v>0</v>
      </c>
      <c r="I182" s="83">
        <f t="shared" si="184"/>
        <v>0.01023255814</v>
      </c>
      <c r="J182" s="73">
        <v>0.0</v>
      </c>
      <c r="K182" s="73">
        <v>0.0</v>
      </c>
      <c r="L182" s="73">
        <v>0.0</v>
      </c>
      <c r="M182" s="73">
        <v>0.0</v>
      </c>
      <c r="N182" s="73">
        <v>0.0</v>
      </c>
    </row>
    <row r="183" ht="15.75" customHeight="1">
      <c r="A183" s="28" t="s">
        <v>175</v>
      </c>
      <c r="B183" s="28">
        <f t="shared" ref="B183:N183" si="185">+B190+B186</f>
        <v>535</v>
      </c>
      <c r="C183" s="28">
        <f t="shared" si="185"/>
        <v>514</v>
      </c>
      <c r="D183" s="28">
        <f t="shared" si="185"/>
        <v>505</v>
      </c>
      <c r="E183" s="28">
        <f t="shared" si="185"/>
        <v>343</v>
      </c>
      <c r="F183" s="28">
        <f t="shared" si="185"/>
        <v>334</v>
      </c>
      <c r="G183" s="28">
        <f t="shared" si="185"/>
        <v>322</v>
      </c>
      <c r="H183" s="28">
        <f t="shared" si="185"/>
        <v>569</v>
      </c>
      <c r="I183" s="28">
        <f t="shared" si="185"/>
        <v>691</v>
      </c>
      <c r="J183" s="28">
        <f t="shared" si="185"/>
        <v>532.6522022</v>
      </c>
      <c r="K183" s="28">
        <f t="shared" si="185"/>
        <v>566.9344569</v>
      </c>
      <c r="L183" s="28">
        <f t="shared" si="185"/>
        <v>603.8502901</v>
      </c>
      <c r="M183" s="28">
        <f t="shared" si="185"/>
        <v>643.5729101</v>
      </c>
      <c r="N183" s="28">
        <f t="shared" si="185"/>
        <v>686.288689</v>
      </c>
      <c r="O183" s="79"/>
      <c r="P183" s="79"/>
      <c r="Q183" s="79"/>
      <c r="R183" s="79"/>
      <c r="S183" s="79"/>
      <c r="T183" s="79"/>
      <c r="U183" s="79"/>
      <c r="V183" s="79"/>
      <c r="W183" s="79"/>
      <c r="X183" s="79"/>
      <c r="Y183" s="79"/>
      <c r="Z183" s="79"/>
    </row>
    <row r="184" ht="15.75" customHeight="1">
      <c r="A184" s="65" t="s">
        <v>138</v>
      </c>
      <c r="B184" s="75" t="str">
        <f t="shared" ref="B184:N184" si="186">+IFERROR(B183/A183-1,"nm")</f>
        <v>nm</v>
      </c>
      <c r="C184" s="75">
        <f t="shared" si="186"/>
        <v>-0.03925233645</v>
      </c>
      <c r="D184" s="75">
        <f t="shared" si="186"/>
        <v>-0.01750972763</v>
      </c>
      <c r="E184" s="75">
        <f t="shared" si="186"/>
        <v>-0.3207920792</v>
      </c>
      <c r="F184" s="75">
        <f t="shared" si="186"/>
        <v>-0.02623906706</v>
      </c>
      <c r="G184" s="75">
        <f t="shared" si="186"/>
        <v>-0.03592814371</v>
      </c>
      <c r="H184" s="75">
        <f t="shared" si="186"/>
        <v>0.7670807453</v>
      </c>
      <c r="I184" s="75">
        <f t="shared" si="186"/>
        <v>0.2144112478</v>
      </c>
      <c r="J184" s="73">
        <f t="shared" si="186"/>
        <v>-0.2291574498</v>
      </c>
      <c r="K184" s="73">
        <f t="shared" si="186"/>
        <v>0.06436142485</v>
      </c>
      <c r="L184" s="73">
        <f t="shared" si="186"/>
        <v>0.06511481655</v>
      </c>
      <c r="M184" s="73">
        <f t="shared" si="186"/>
        <v>0.06578223233</v>
      </c>
      <c r="N184" s="73">
        <f t="shared" si="186"/>
        <v>0.06637286659</v>
      </c>
    </row>
    <row r="185" ht="15.75" customHeight="1">
      <c r="A185" s="65" t="s">
        <v>176</v>
      </c>
      <c r="B185" s="75">
        <f t="shared" ref="B185:I185" si="187">+IFERROR(B183/B$165,"nm")</f>
        <v>0.2699293643</v>
      </c>
      <c r="C185" s="75">
        <f t="shared" si="187"/>
        <v>0.262915601</v>
      </c>
      <c r="D185" s="75">
        <f t="shared" si="187"/>
        <v>0.2473065622</v>
      </c>
      <c r="E185" s="75">
        <f t="shared" si="187"/>
        <v>0.1818663839</v>
      </c>
      <c r="F185" s="75">
        <f t="shared" si="187"/>
        <v>0.1752360965</v>
      </c>
      <c r="G185" s="75">
        <f t="shared" si="187"/>
        <v>0.1485239852</v>
      </c>
      <c r="H185" s="75">
        <f t="shared" si="187"/>
        <v>0.2580498866</v>
      </c>
      <c r="I185" s="75">
        <f t="shared" si="187"/>
        <v>0.2945439045</v>
      </c>
      <c r="J185" s="73">
        <f>AVERAGE(C185:I185)</f>
        <v>0.2240632029</v>
      </c>
      <c r="K185" s="73">
        <v>0.22406320285927475</v>
      </c>
      <c r="L185" s="73">
        <v>0.22406320285927475</v>
      </c>
      <c r="M185" s="73">
        <v>0.22406320285927475</v>
      </c>
      <c r="N185" s="73">
        <v>0.22406320285927475</v>
      </c>
      <c r="O185" s="22">
        <f>N183/N165</f>
        <v>0.2253003462</v>
      </c>
    </row>
    <row r="186" ht="15.75" customHeight="1">
      <c r="A186" s="28" t="s">
        <v>177</v>
      </c>
      <c r="B186" s="28">
        <f>+Historicals!B178</f>
        <v>18</v>
      </c>
      <c r="C186" s="28">
        <f>+Historicals!C178</f>
        <v>27</v>
      </c>
      <c r="D186" s="28">
        <f>+Historicals!D178</f>
        <v>28</v>
      </c>
      <c r="E186" s="28">
        <f>+Historicals!E178</f>
        <v>33</v>
      </c>
      <c r="F186" s="28">
        <f>+Historicals!F178</f>
        <v>31</v>
      </c>
      <c r="G186" s="28">
        <f>+Historicals!G178</f>
        <v>25</v>
      </c>
      <c r="H186" s="28">
        <f>+Historicals!H178</f>
        <v>26</v>
      </c>
      <c r="I186" s="28">
        <f>+Historicals!I178</f>
        <v>22</v>
      </c>
      <c r="J186" s="28">
        <f t="shared" ref="J186:N186" si="188">J189*J196</f>
        <v>34.66742229</v>
      </c>
      <c r="K186" s="28">
        <f t="shared" si="188"/>
        <v>36.89866698</v>
      </c>
      <c r="L186" s="28">
        <f t="shared" si="188"/>
        <v>39.30131691</v>
      </c>
      <c r="M186" s="28">
        <f t="shared" si="188"/>
        <v>41.88664527</v>
      </c>
      <c r="N186" s="28">
        <f t="shared" si="188"/>
        <v>44.66678199</v>
      </c>
      <c r="O186" s="79"/>
      <c r="P186" s="79"/>
      <c r="Q186" s="79"/>
      <c r="R186" s="79"/>
      <c r="S186" s="79"/>
      <c r="T186" s="79"/>
      <c r="U186" s="79"/>
      <c r="V186" s="79"/>
      <c r="W186" s="79"/>
      <c r="X186" s="79"/>
      <c r="Y186" s="79"/>
      <c r="Z186" s="79"/>
    </row>
    <row r="187" ht="15.75" customHeight="1">
      <c r="A187" s="65" t="s">
        <v>138</v>
      </c>
      <c r="B187" s="75" t="str">
        <f t="shared" ref="B187:N187" si="189">+IFERROR(B186/A186-1,"nm")</f>
        <v>nm</v>
      </c>
      <c r="C187" s="75">
        <f t="shared" si="189"/>
        <v>0.5</v>
      </c>
      <c r="D187" s="75">
        <f t="shared" si="189"/>
        <v>0.03703703704</v>
      </c>
      <c r="E187" s="75">
        <f t="shared" si="189"/>
        <v>0.1785714286</v>
      </c>
      <c r="F187" s="75">
        <f t="shared" si="189"/>
        <v>-0.06060606061</v>
      </c>
      <c r="G187" s="75">
        <f t="shared" si="189"/>
        <v>-0.1935483871</v>
      </c>
      <c r="H187" s="75">
        <f t="shared" si="189"/>
        <v>0.04</v>
      </c>
      <c r="I187" s="75">
        <f t="shared" si="189"/>
        <v>-0.1538461538</v>
      </c>
      <c r="J187" s="73">
        <f t="shared" si="189"/>
        <v>0.5757919222</v>
      </c>
      <c r="K187" s="73">
        <f t="shared" si="189"/>
        <v>0.06436142485</v>
      </c>
      <c r="L187" s="73">
        <f t="shared" si="189"/>
        <v>0.06511481655</v>
      </c>
      <c r="M187" s="73">
        <f t="shared" si="189"/>
        <v>0.06578223233</v>
      </c>
      <c r="N187" s="73">
        <f t="shared" si="189"/>
        <v>0.06637286659</v>
      </c>
    </row>
    <row r="188" ht="15.75" customHeight="1">
      <c r="A188" s="65" t="s">
        <v>179</v>
      </c>
      <c r="B188" s="75">
        <f t="shared" ref="B188:I188" si="190">+IFERROR(B186/B$165,"nm")</f>
        <v>0.009081735621</v>
      </c>
      <c r="C188" s="75">
        <f t="shared" si="190"/>
        <v>0.01381074169</v>
      </c>
      <c r="D188" s="75">
        <f t="shared" si="190"/>
        <v>0.01371204701</v>
      </c>
      <c r="E188" s="75">
        <f t="shared" si="190"/>
        <v>0.01749734889</v>
      </c>
      <c r="F188" s="75">
        <f t="shared" si="190"/>
        <v>0.01626442812</v>
      </c>
      <c r="G188" s="75">
        <f t="shared" si="190"/>
        <v>0.01153136531</v>
      </c>
      <c r="H188" s="75">
        <f t="shared" si="190"/>
        <v>0.01179138322</v>
      </c>
      <c r="I188" s="75">
        <f t="shared" si="190"/>
        <v>0.009377664109</v>
      </c>
      <c r="J188" s="73">
        <f t="shared" ref="J188:N188" si="191">J186/J165</f>
        <v>0.01466356886</v>
      </c>
      <c r="K188" s="73">
        <f t="shared" si="191"/>
        <v>0.01466356886</v>
      </c>
      <c r="L188" s="73">
        <f t="shared" si="191"/>
        <v>0.01466356886</v>
      </c>
      <c r="M188" s="73">
        <f t="shared" si="191"/>
        <v>0.01466356886</v>
      </c>
      <c r="N188" s="73">
        <f t="shared" si="191"/>
        <v>0.01466356886</v>
      </c>
    </row>
    <row r="189" ht="15.75" customHeight="1">
      <c r="A189" s="65" t="s">
        <v>180</v>
      </c>
      <c r="B189" s="75">
        <f t="shared" ref="B189:I189" si="192">+IFERROR(B186/B196,"nm")</f>
        <v>0.1475409836</v>
      </c>
      <c r="C189" s="75">
        <f t="shared" si="192"/>
        <v>0.216</v>
      </c>
      <c r="D189" s="75">
        <f t="shared" si="192"/>
        <v>0.224</v>
      </c>
      <c r="E189" s="75">
        <f t="shared" si="192"/>
        <v>0.2869565217</v>
      </c>
      <c r="F189" s="75">
        <f t="shared" si="192"/>
        <v>0.31</v>
      </c>
      <c r="G189" s="75">
        <f t="shared" si="192"/>
        <v>0.3125</v>
      </c>
      <c r="H189" s="75">
        <f t="shared" si="192"/>
        <v>0.4126984127</v>
      </c>
      <c r="I189" s="75">
        <f t="shared" si="192"/>
        <v>0.4489795918</v>
      </c>
      <c r="J189" s="73">
        <f>AVERAGE(C189:I189)</f>
        <v>0.3158763609</v>
      </c>
      <c r="K189" s="73">
        <v>0.3158763608963254</v>
      </c>
      <c r="L189" s="73">
        <v>0.3158763608963254</v>
      </c>
      <c r="M189" s="73">
        <v>0.3158763608963254</v>
      </c>
      <c r="N189" s="73">
        <v>0.3158763608963254</v>
      </c>
    </row>
    <row r="190" ht="15.75" customHeight="1">
      <c r="A190" s="28" t="s">
        <v>181</v>
      </c>
      <c r="B190" s="28">
        <f>+Historicals!B145</f>
        <v>517</v>
      </c>
      <c r="C190" s="28">
        <f>+Historicals!C145</f>
        <v>487</v>
      </c>
      <c r="D190" s="28">
        <f>+Historicals!D145</f>
        <v>477</v>
      </c>
      <c r="E190" s="28">
        <f>+Historicals!E145</f>
        <v>310</v>
      </c>
      <c r="F190" s="28">
        <f>+Historicals!F145</f>
        <v>303</v>
      </c>
      <c r="G190" s="28">
        <f>+Historicals!G145</f>
        <v>297</v>
      </c>
      <c r="H190" s="28">
        <f>+Historicals!H145</f>
        <v>543</v>
      </c>
      <c r="I190" s="28">
        <f>+Historicals!I145</f>
        <v>669</v>
      </c>
      <c r="J190" s="28">
        <f t="shared" ref="J190:N190" si="193">J165*J192</f>
        <v>497.9847799</v>
      </c>
      <c r="K190" s="28">
        <f t="shared" si="193"/>
        <v>530.0357899</v>
      </c>
      <c r="L190" s="28">
        <f t="shared" si="193"/>
        <v>564.5489731</v>
      </c>
      <c r="M190" s="28">
        <f t="shared" si="193"/>
        <v>601.6862648</v>
      </c>
      <c r="N190" s="28">
        <f t="shared" si="193"/>
        <v>641.621907</v>
      </c>
      <c r="O190" s="79"/>
      <c r="P190" s="79"/>
      <c r="Q190" s="79"/>
      <c r="R190" s="79"/>
      <c r="S190" s="79"/>
      <c r="T190" s="79"/>
      <c r="U190" s="79"/>
      <c r="V190" s="79"/>
      <c r="W190" s="79"/>
      <c r="X190" s="79"/>
      <c r="Y190" s="79"/>
      <c r="Z190" s="79"/>
    </row>
    <row r="191" ht="15.75" customHeight="1">
      <c r="A191" s="65" t="s">
        <v>138</v>
      </c>
      <c r="B191" s="75" t="str">
        <f t="shared" ref="B191:N191" si="194">+IFERROR(B190/A190-1,"nm")</f>
        <v>nm</v>
      </c>
      <c r="C191" s="75">
        <f t="shared" si="194"/>
        <v>-0.0580270793</v>
      </c>
      <c r="D191" s="75">
        <f t="shared" si="194"/>
        <v>-0.0205338809</v>
      </c>
      <c r="E191" s="75">
        <f t="shared" si="194"/>
        <v>-0.3501048218</v>
      </c>
      <c r="F191" s="75">
        <f t="shared" si="194"/>
        <v>-0.02258064516</v>
      </c>
      <c r="G191" s="75">
        <f t="shared" si="194"/>
        <v>-0.0198019802</v>
      </c>
      <c r="H191" s="75">
        <f t="shared" si="194"/>
        <v>0.8282828283</v>
      </c>
      <c r="I191" s="75">
        <f t="shared" si="194"/>
        <v>0.2320441989</v>
      </c>
      <c r="J191" s="73">
        <f t="shared" si="194"/>
        <v>-0.2556281317</v>
      </c>
      <c r="K191" s="73">
        <f t="shared" si="194"/>
        <v>0.06436142485</v>
      </c>
      <c r="L191" s="73">
        <f t="shared" si="194"/>
        <v>0.06511481655</v>
      </c>
      <c r="M191" s="73">
        <f t="shared" si="194"/>
        <v>0.06578223233</v>
      </c>
      <c r="N191" s="73">
        <f t="shared" si="194"/>
        <v>0.06637286659</v>
      </c>
    </row>
    <row r="192" ht="15.75" customHeight="1">
      <c r="A192" s="65" t="s">
        <v>176</v>
      </c>
      <c r="B192" s="75">
        <f t="shared" ref="B192:I192" si="195">+IFERROR(B190/B$165,"nm")</f>
        <v>0.2608476287</v>
      </c>
      <c r="C192" s="75">
        <f t="shared" si="195"/>
        <v>0.2491048593</v>
      </c>
      <c r="D192" s="75">
        <f t="shared" si="195"/>
        <v>0.2335945152</v>
      </c>
      <c r="E192" s="75">
        <f t="shared" si="195"/>
        <v>0.164369035</v>
      </c>
      <c r="F192" s="75">
        <f t="shared" si="195"/>
        <v>0.1589716684</v>
      </c>
      <c r="G192" s="75">
        <f t="shared" si="195"/>
        <v>0.1369926199</v>
      </c>
      <c r="H192" s="75">
        <f t="shared" si="195"/>
        <v>0.2462585034</v>
      </c>
      <c r="I192" s="75">
        <f t="shared" si="195"/>
        <v>0.2851662404</v>
      </c>
      <c r="J192" s="73">
        <f>AVERAGE(C192:I192)</f>
        <v>0.2106367774</v>
      </c>
      <c r="K192" s="73">
        <v>0.21063677738046113</v>
      </c>
      <c r="L192" s="73">
        <v>0.21063677738046113</v>
      </c>
      <c r="M192" s="73">
        <v>0.21063677738046113</v>
      </c>
      <c r="N192" s="73">
        <v>0.21063677738046113</v>
      </c>
    </row>
    <row r="193" ht="15.75" customHeight="1">
      <c r="A193" s="28" t="s">
        <v>182</v>
      </c>
      <c r="B193" s="28">
        <f>+Historicals!B167</f>
        <v>69</v>
      </c>
      <c r="C193" s="28">
        <f>+Historicals!C167</f>
        <v>39</v>
      </c>
      <c r="D193" s="28">
        <f>+Historicals!D167</f>
        <v>30</v>
      </c>
      <c r="E193" s="28">
        <f>+Historicals!E167</f>
        <v>22</v>
      </c>
      <c r="F193" s="28">
        <f>+Historicals!F167</f>
        <v>18</v>
      </c>
      <c r="G193" s="28">
        <f>+Historicals!G167</f>
        <v>12</v>
      </c>
      <c r="H193" s="28">
        <f>+Historicals!H167</f>
        <v>7</v>
      </c>
      <c r="I193" s="28">
        <f>+Historicals!I167</f>
        <v>9</v>
      </c>
      <c r="J193" s="28">
        <f t="shared" ref="J193:N193" si="196">J165*J195</f>
        <v>23.06604564</v>
      </c>
      <c r="K193" s="28">
        <f t="shared" si="196"/>
        <v>24.5506092</v>
      </c>
      <c r="L193" s="28">
        <f t="shared" si="196"/>
        <v>26.14921762</v>
      </c>
      <c r="M193" s="28">
        <f t="shared" si="196"/>
        <v>27.86937153</v>
      </c>
      <c r="N193" s="28">
        <f t="shared" si="196"/>
        <v>29.7191416</v>
      </c>
      <c r="O193" s="79"/>
      <c r="P193" s="79"/>
      <c r="Q193" s="79"/>
      <c r="R193" s="79"/>
      <c r="S193" s="79"/>
      <c r="T193" s="79"/>
      <c r="U193" s="79"/>
      <c r="V193" s="79"/>
      <c r="W193" s="79"/>
      <c r="X193" s="79"/>
      <c r="Y193" s="79"/>
      <c r="Z193" s="79"/>
    </row>
    <row r="194" ht="15.75" customHeight="1">
      <c r="A194" s="65" t="s">
        <v>138</v>
      </c>
      <c r="B194" s="75" t="str">
        <f t="shared" ref="B194:I194" si="197">+IFERROR(B193/A193-1,"nm")</f>
        <v>nm</v>
      </c>
      <c r="C194" s="75">
        <f t="shared" si="197"/>
        <v>-0.4347826087</v>
      </c>
      <c r="D194" s="75">
        <f t="shared" si="197"/>
        <v>-0.2307692308</v>
      </c>
      <c r="E194" s="75">
        <f t="shared" si="197"/>
        <v>-0.2666666667</v>
      </c>
      <c r="F194" s="75">
        <f t="shared" si="197"/>
        <v>-0.1818181818</v>
      </c>
      <c r="G194" s="75">
        <f t="shared" si="197"/>
        <v>-0.3333333333</v>
      </c>
      <c r="H194" s="75">
        <f t="shared" si="197"/>
        <v>-0.4166666667</v>
      </c>
      <c r="I194" s="75">
        <f t="shared" si="197"/>
        <v>0.2857142857</v>
      </c>
      <c r="J194" s="73">
        <f t="shared" ref="J194:N194" si="198">(J193-I193)/I193</f>
        <v>1.56289396</v>
      </c>
      <c r="K194" s="73">
        <f t="shared" si="198"/>
        <v>0.06436142485</v>
      </c>
      <c r="L194" s="73">
        <f t="shared" si="198"/>
        <v>0.06511481655</v>
      </c>
      <c r="M194" s="73">
        <f t="shared" si="198"/>
        <v>0.06578223233</v>
      </c>
      <c r="N194" s="73">
        <f t="shared" si="198"/>
        <v>0.06637286659</v>
      </c>
    </row>
    <row r="195" ht="15.75" customHeight="1">
      <c r="A195" s="65" t="s">
        <v>179</v>
      </c>
      <c r="B195" s="75">
        <f t="shared" ref="B195:I195" si="199">+IFERROR(B193/B$165,"nm")</f>
        <v>0.03481331988</v>
      </c>
      <c r="C195" s="75">
        <f t="shared" si="199"/>
        <v>0.0199488491</v>
      </c>
      <c r="D195" s="75">
        <f t="shared" si="199"/>
        <v>0.01469147894</v>
      </c>
      <c r="E195" s="75">
        <f t="shared" si="199"/>
        <v>0.01166489926</v>
      </c>
      <c r="F195" s="75">
        <f t="shared" si="199"/>
        <v>0.00944386149</v>
      </c>
      <c r="G195" s="75">
        <f t="shared" si="199"/>
        <v>0.005535055351</v>
      </c>
      <c r="H195" s="75">
        <f t="shared" si="199"/>
        <v>0.003174603175</v>
      </c>
      <c r="I195" s="75">
        <f t="shared" si="199"/>
        <v>0.003836317136</v>
      </c>
      <c r="J195" s="73">
        <f>AVERAGE(C195:I195)</f>
        <v>0.009756437779</v>
      </c>
      <c r="K195" s="73">
        <v>0.009756437779357016</v>
      </c>
      <c r="L195" s="73">
        <v>0.009756437779357016</v>
      </c>
      <c r="M195" s="73">
        <v>0.009756437779357016</v>
      </c>
      <c r="N195" s="73">
        <v>0.009756437779357016</v>
      </c>
    </row>
    <row r="196" ht="15.75" customHeight="1">
      <c r="A196" s="28" t="s">
        <v>183</v>
      </c>
      <c r="B196" s="28">
        <f>+Historicals!B156</f>
        <v>122</v>
      </c>
      <c r="C196" s="28">
        <f>+Historicals!C156</f>
        <v>125</v>
      </c>
      <c r="D196" s="28">
        <f>+Historicals!D156</f>
        <v>125</v>
      </c>
      <c r="E196" s="28">
        <f>+Historicals!E156</f>
        <v>115</v>
      </c>
      <c r="F196" s="28">
        <f>+Historicals!F156</f>
        <v>100</v>
      </c>
      <c r="G196" s="28">
        <f>+Historicals!G156</f>
        <v>80</v>
      </c>
      <c r="H196" s="85">
        <f>+Historicals!H156</f>
        <v>63</v>
      </c>
      <c r="I196" s="85">
        <f>+Historicals!I156</f>
        <v>49</v>
      </c>
      <c r="J196" s="28">
        <f t="shared" ref="J196:N196" si="200">J165*J198</f>
        <v>109.7499737</v>
      </c>
      <c r="K196" s="28">
        <f t="shared" si="200"/>
        <v>116.8136383</v>
      </c>
      <c r="L196" s="28">
        <f t="shared" si="200"/>
        <v>124.419937</v>
      </c>
      <c r="M196" s="28">
        <f t="shared" si="200"/>
        <v>132.6045582</v>
      </c>
      <c r="N196" s="28">
        <f t="shared" si="200"/>
        <v>141.4059028</v>
      </c>
      <c r="O196" s="79"/>
      <c r="P196" s="79"/>
      <c r="Q196" s="79"/>
      <c r="R196" s="79"/>
      <c r="S196" s="79"/>
      <c r="T196" s="79"/>
      <c r="U196" s="79"/>
      <c r="V196" s="79"/>
      <c r="W196" s="79"/>
      <c r="X196" s="79"/>
      <c r="Y196" s="79"/>
      <c r="Z196" s="79"/>
    </row>
    <row r="197" ht="15.75" customHeight="1">
      <c r="A197" s="65" t="s">
        <v>138</v>
      </c>
      <c r="B197" s="75" t="str">
        <f t="shared" ref="B197:N197" si="201">+IFERROR(B196/A196-1,"nm")</f>
        <v>nm</v>
      </c>
      <c r="C197" s="75">
        <f t="shared" si="201"/>
        <v>0.02459016393</v>
      </c>
      <c r="D197" s="75">
        <f t="shared" si="201"/>
        <v>0</v>
      </c>
      <c r="E197" s="75">
        <f t="shared" si="201"/>
        <v>-0.08</v>
      </c>
      <c r="F197" s="75">
        <f t="shared" si="201"/>
        <v>-0.1304347826</v>
      </c>
      <c r="G197" s="75">
        <f t="shared" si="201"/>
        <v>-0.2</v>
      </c>
      <c r="H197" s="83">
        <f t="shared" si="201"/>
        <v>-0.2125</v>
      </c>
      <c r="I197" s="83">
        <f t="shared" si="201"/>
        <v>-0.2222222222</v>
      </c>
      <c r="J197" s="73">
        <f t="shared" si="201"/>
        <v>1.239795381</v>
      </c>
      <c r="K197" s="73">
        <f t="shared" si="201"/>
        <v>0.06436142485</v>
      </c>
      <c r="L197" s="73">
        <f t="shared" si="201"/>
        <v>0.06511481655</v>
      </c>
      <c r="M197" s="73">
        <f t="shared" si="201"/>
        <v>0.06578223233</v>
      </c>
      <c r="N197" s="73">
        <f t="shared" si="201"/>
        <v>0.06637286659</v>
      </c>
    </row>
    <row r="198" ht="15.75" customHeight="1">
      <c r="A198" s="65" t="s">
        <v>179</v>
      </c>
      <c r="B198" s="75">
        <f t="shared" ref="B198:I198" si="202">+IFERROR(B196/B$165,"nm")</f>
        <v>0.06155398587</v>
      </c>
      <c r="C198" s="75">
        <f t="shared" si="202"/>
        <v>0.06393861893</v>
      </c>
      <c r="D198" s="75">
        <f t="shared" si="202"/>
        <v>0.06121449559</v>
      </c>
      <c r="E198" s="75">
        <f t="shared" si="202"/>
        <v>0.06097560976</v>
      </c>
      <c r="F198" s="75">
        <f t="shared" si="202"/>
        <v>0.05246589717</v>
      </c>
      <c r="G198" s="75">
        <f t="shared" si="202"/>
        <v>0.036900369</v>
      </c>
      <c r="H198" s="83">
        <f t="shared" si="202"/>
        <v>0.02857142857</v>
      </c>
      <c r="I198" s="83">
        <f t="shared" si="202"/>
        <v>0.02088661552</v>
      </c>
      <c r="J198" s="73">
        <f>AVERAGE(C198:I198)</f>
        <v>0.04642186208</v>
      </c>
      <c r="K198" s="73">
        <v>0.046421862076030974</v>
      </c>
      <c r="L198" s="73">
        <v>0.046421862076030974</v>
      </c>
      <c r="M198" s="73">
        <v>0.046421862076030974</v>
      </c>
      <c r="N198" s="73">
        <v>0.046421862076030974</v>
      </c>
    </row>
    <row r="199" ht="15.75" customHeight="1">
      <c r="A199" s="86" t="s">
        <v>201</v>
      </c>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15.75" customHeight="1">
      <c r="A200" s="81" t="s">
        <v>187</v>
      </c>
      <c r="B200" s="81">
        <f>+Historicals!B135</f>
        <v>-82</v>
      </c>
      <c r="C200" s="81">
        <f>+Historicals!C135</f>
        <v>-86</v>
      </c>
      <c r="D200" s="81">
        <f>+Historicals!D135</f>
        <v>75</v>
      </c>
      <c r="E200" s="81">
        <f>+Historicals!E135</f>
        <v>26</v>
      </c>
      <c r="F200" s="81">
        <f>+Historicals!F135</f>
        <v>-7</v>
      </c>
      <c r="G200" s="81">
        <f>+Historicals!G135</f>
        <v>-11</v>
      </c>
      <c r="H200" s="81">
        <f>+Historicals!H135</f>
        <v>40</v>
      </c>
      <c r="I200" s="81">
        <f>+Historicals!I135</f>
        <v>-72</v>
      </c>
      <c r="J200" s="23">
        <f t="shared" ref="J200:N200" si="203">I200*(1+J201)</f>
        <v>-60.01011259</v>
      </c>
      <c r="K200" s="23">
        <f t="shared" si="203"/>
        <v>-50.01685574</v>
      </c>
      <c r="L200" s="23">
        <f t="shared" si="203"/>
        <v>-41.68773812</v>
      </c>
      <c r="M200" s="23">
        <f t="shared" si="203"/>
        <v>-34.74563692</v>
      </c>
      <c r="N200" s="23">
        <f t="shared" si="203"/>
        <v>-28.95957755</v>
      </c>
    </row>
    <row r="201" ht="15.75" customHeight="1">
      <c r="A201" s="82" t="s">
        <v>188</v>
      </c>
      <c r="B201" s="83" t="str">
        <f>+IFERROR(B200/A200-1,"nm")</f>
        <v>nm</v>
      </c>
      <c r="C201" s="87">
        <f t="shared" ref="C201:D201" si="204">(C200-B200)/-(B200)</f>
        <v>-0.0487804878</v>
      </c>
      <c r="D201" s="87">
        <f t="shared" si="204"/>
        <v>1.872093023</v>
      </c>
      <c r="E201" s="87">
        <f t="shared" ref="E201:F201" si="205">(E200-D200)/D200</f>
        <v>-0.6533333333</v>
      </c>
      <c r="F201" s="87">
        <f t="shared" si="205"/>
        <v>-1.269230769</v>
      </c>
      <c r="G201" s="87">
        <f t="shared" ref="G201:H201" si="206">(G200-F200)/-F200</f>
        <v>-0.5714285714</v>
      </c>
      <c r="H201" s="87">
        <f t="shared" si="206"/>
        <v>4.636363636</v>
      </c>
      <c r="I201" s="87">
        <f>(I200-H200)/H200</f>
        <v>-2.8</v>
      </c>
      <c r="J201" s="73">
        <f>-AVERAGE(C201:I201)</f>
        <v>-0.166526214</v>
      </c>
      <c r="K201" s="73">
        <v>-0.166526213974557</v>
      </c>
      <c r="L201" s="73">
        <v>-0.166526213974557</v>
      </c>
      <c r="M201" s="73">
        <v>-0.166526213974557</v>
      </c>
      <c r="N201" s="73">
        <v>-0.166526213974557</v>
      </c>
    </row>
    <row r="202" ht="15.75" customHeight="1">
      <c r="A202" s="81" t="s">
        <v>194</v>
      </c>
      <c r="B202" s="81">
        <f t="shared" ref="B202:I202" si="207">B209+B205</f>
        <v>-1172</v>
      </c>
      <c r="C202" s="81">
        <f t="shared" si="207"/>
        <v>-1089</v>
      </c>
      <c r="D202" s="81">
        <f t="shared" si="207"/>
        <v>-633</v>
      </c>
      <c r="E202" s="81">
        <f t="shared" si="207"/>
        <v>-1346</v>
      </c>
      <c r="F202" s="81">
        <f t="shared" si="207"/>
        <v>-1694</v>
      </c>
      <c r="G202" s="81">
        <f t="shared" si="207"/>
        <v>-1855</v>
      </c>
      <c r="H202" s="81">
        <f t="shared" si="207"/>
        <v>-2120</v>
      </c>
      <c r="I202" s="81">
        <f t="shared" si="207"/>
        <v>-2085</v>
      </c>
      <c r="J202" s="23">
        <f t="shared" ref="J202:N202" si="208">+J209+J205</f>
        <v>-1334.827113</v>
      </c>
      <c r="K202" s="23">
        <f t="shared" si="208"/>
        <v>-1458.368377</v>
      </c>
      <c r="L202" s="23">
        <f t="shared" si="208"/>
        <v>-1613.95632</v>
      </c>
      <c r="M202" s="23">
        <f t="shared" si="208"/>
        <v>-1813.087049</v>
      </c>
      <c r="N202" s="23">
        <f t="shared" si="208"/>
        <v>-2064.653768</v>
      </c>
    </row>
    <row r="203" ht="15.75" customHeight="1">
      <c r="A203" s="82" t="s">
        <v>188</v>
      </c>
      <c r="B203" s="83" t="str">
        <f>+IFERROR(B202/A202-1,"nm")</f>
        <v>nm</v>
      </c>
      <c r="C203" s="83">
        <f>+IFERROR(B202/C202-1,"nm")</f>
        <v>0.07621671258</v>
      </c>
      <c r="D203" s="83">
        <f t="shared" ref="D203:N203" si="209">+IFERROR(D202/C202-1,"nm")</f>
        <v>-0.4187327824</v>
      </c>
      <c r="E203" s="83">
        <f t="shared" si="209"/>
        <v>1.126382306</v>
      </c>
      <c r="F203" s="83">
        <f t="shared" si="209"/>
        <v>0.2585438336</v>
      </c>
      <c r="G203" s="83">
        <f t="shared" si="209"/>
        <v>0.09504132231</v>
      </c>
      <c r="H203" s="83">
        <f t="shared" si="209"/>
        <v>0.1428571429</v>
      </c>
      <c r="I203" s="83">
        <f t="shared" si="209"/>
        <v>-0.01650943396</v>
      </c>
      <c r="J203" s="73">
        <f t="shared" si="209"/>
        <v>-0.3597951498</v>
      </c>
      <c r="K203" s="73">
        <f t="shared" si="209"/>
        <v>0.09255225871</v>
      </c>
      <c r="L203" s="73">
        <f t="shared" si="209"/>
        <v>0.1066863115</v>
      </c>
      <c r="M203" s="73">
        <f t="shared" si="209"/>
        <v>0.1233804948</v>
      </c>
      <c r="N203" s="73">
        <f t="shared" si="209"/>
        <v>0.1387504911</v>
      </c>
    </row>
    <row r="204" ht="15.75" customHeight="1">
      <c r="A204" s="82" t="s">
        <v>195</v>
      </c>
      <c r="B204" s="83">
        <f t="shared" ref="B204:I204" si="210">+IFERROR(B202/B$200,"nm")</f>
        <v>14.29268293</v>
      </c>
      <c r="C204" s="83">
        <f t="shared" si="210"/>
        <v>12.6627907</v>
      </c>
      <c r="D204" s="83">
        <f t="shared" si="210"/>
        <v>-8.44</v>
      </c>
      <c r="E204" s="83">
        <f t="shared" si="210"/>
        <v>-51.76923077</v>
      </c>
      <c r="F204" s="83">
        <f t="shared" si="210"/>
        <v>242</v>
      </c>
      <c r="G204" s="83">
        <f t="shared" si="210"/>
        <v>168.6363636</v>
      </c>
      <c r="H204" s="83">
        <f t="shared" si="210"/>
        <v>-53</v>
      </c>
      <c r="I204" s="83">
        <f t="shared" si="210"/>
        <v>28.95833333</v>
      </c>
      <c r="J204" s="73">
        <f>AVERAGE(C204:I204)</f>
        <v>48.43546527</v>
      </c>
      <c r="K204" s="73">
        <v>48.43546527116295</v>
      </c>
      <c r="L204" s="73">
        <v>48.43546527116295</v>
      </c>
      <c r="M204" s="73">
        <v>48.43546527116295</v>
      </c>
      <c r="N204" s="73">
        <v>48.43546527116295</v>
      </c>
    </row>
    <row r="205" ht="15.75" customHeight="1">
      <c r="A205" s="81" t="s">
        <v>196</v>
      </c>
      <c r="B205" s="81">
        <f>-Historicals!B179</f>
        <v>-75</v>
      </c>
      <c r="C205" s="81">
        <f>Historicals!C179</f>
        <v>84</v>
      </c>
      <c r="D205" s="81">
        <f>Historicals!D179</f>
        <v>91</v>
      </c>
      <c r="E205" s="81">
        <f>Historicals!E179</f>
        <v>110</v>
      </c>
      <c r="F205" s="81">
        <f>Historicals!F179</f>
        <v>116</v>
      </c>
      <c r="G205" s="81">
        <f>Historicals!G179</f>
        <v>112</v>
      </c>
      <c r="H205" s="81">
        <f>Historicals!H179</f>
        <v>141</v>
      </c>
      <c r="I205" s="81">
        <f>Historicals!I179</f>
        <v>134</v>
      </c>
      <c r="J205" s="23">
        <f t="shared" ref="J205:N205" si="211">J8-(J39+J70+J101+J132+J151+J186)</f>
        <v>215.8408466</v>
      </c>
      <c r="K205" s="23">
        <f t="shared" si="211"/>
        <v>232.16717</v>
      </c>
      <c r="L205" s="23">
        <f t="shared" si="211"/>
        <v>252.617872</v>
      </c>
      <c r="M205" s="23">
        <f t="shared" si="211"/>
        <v>273.0586912</v>
      </c>
      <c r="N205" s="23">
        <f t="shared" si="211"/>
        <v>293.2777137</v>
      </c>
    </row>
    <row r="206" ht="15.75" customHeight="1">
      <c r="A206" s="82" t="s">
        <v>188</v>
      </c>
      <c r="B206" s="83" t="str">
        <f t="shared" ref="B206:N206" si="212">+IFERROR(B205/A205-1,"nm")</f>
        <v>nm</v>
      </c>
      <c r="C206" s="83">
        <f t="shared" si="212"/>
        <v>-2.12</v>
      </c>
      <c r="D206" s="83">
        <f t="shared" si="212"/>
        <v>0.08333333333</v>
      </c>
      <c r="E206" s="83">
        <f t="shared" si="212"/>
        <v>0.2087912088</v>
      </c>
      <c r="F206" s="83">
        <f t="shared" si="212"/>
        <v>0.05454545455</v>
      </c>
      <c r="G206" s="83">
        <f t="shared" si="212"/>
        <v>-0.03448275862</v>
      </c>
      <c r="H206" s="83">
        <f t="shared" si="212"/>
        <v>0.2589285714</v>
      </c>
      <c r="I206" s="83">
        <f t="shared" si="212"/>
        <v>-0.04964539007</v>
      </c>
      <c r="J206" s="73">
        <f t="shared" si="212"/>
        <v>0.6107525867</v>
      </c>
      <c r="K206" s="73">
        <f t="shared" si="212"/>
        <v>0.07564056411</v>
      </c>
      <c r="L206" s="73">
        <f t="shared" si="212"/>
        <v>0.08808610598</v>
      </c>
      <c r="M206" s="73">
        <f t="shared" si="212"/>
        <v>0.08091596622</v>
      </c>
      <c r="N206" s="73">
        <f t="shared" si="212"/>
        <v>0.07404643486</v>
      </c>
    </row>
    <row r="207" ht="15.75" customHeight="1">
      <c r="A207" s="82" t="s">
        <v>197</v>
      </c>
      <c r="B207" s="83">
        <f t="shared" ref="B207:N207" si="213">+IFERROR(B205/B$200,"nm")</f>
        <v>0.9146341463</v>
      </c>
      <c r="C207" s="83">
        <f t="shared" si="213"/>
        <v>-0.976744186</v>
      </c>
      <c r="D207" s="83">
        <f t="shared" si="213"/>
        <v>1.213333333</v>
      </c>
      <c r="E207" s="83">
        <f t="shared" si="213"/>
        <v>4.230769231</v>
      </c>
      <c r="F207" s="83">
        <f t="shared" si="213"/>
        <v>-16.57142857</v>
      </c>
      <c r="G207" s="83">
        <f t="shared" si="213"/>
        <v>-10.18181818</v>
      </c>
      <c r="H207" s="83">
        <f t="shared" si="213"/>
        <v>3.525</v>
      </c>
      <c r="I207" s="83">
        <f t="shared" si="213"/>
        <v>-1.861111111</v>
      </c>
      <c r="J207" s="83">
        <f t="shared" si="213"/>
        <v>-3.596741237</v>
      </c>
      <c r="K207" s="83">
        <f t="shared" si="213"/>
        <v>-4.641778588</v>
      </c>
      <c r="L207" s="83">
        <f t="shared" si="213"/>
        <v>-6.059764414</v>
      </c>
      <c r="M207" s="83">
        <f t="shared" si="213"/>
        <v>-7.858790782</v>
      </c>
      <c r="N207" s="83">
        <f t="shared" si="213"/>
        <v>-10.1271406</v>
      </c>
    </row>
    <row r="208" ht="15.75" customHeight="1">
      <c r="A208" s="82" t="s">
        <v>180</v>
      </c>
      <c r="B208" s="83">
        <f t="shared" ref="B208:I208" si="214">+IFERROR(B205/B215,"nm")</f>
        <v>-0.1051893408</v>
      </c>
      <c r="C208" s="83">
        <f t="shared" si="214"/>
        <v>0.08964781217</v>
      </c>
      <c r="D208" s="83">
        <f t="shared" si="214"/>
        <v>0.07350565428</v>
      </c>
      <c r="E208" s="83">
        <f t="shared" si="214"/>
        <v>0.07586206897</v>
      </c>
      <c r="F208" s="83">
        <f t="shared" si="214"/>
        <v>0.06933652122</v>
      </c>
      <c r="G208" s="83">
        <f t="shared" si="214"/>
        <v>0.05845511482</v>
      </c>
      <c r="H208" s="83">
        <f t="shared" si="214"/>
        <v>0.07540106952</v>
      </c>
      <c r="I208" s="83">
        <f t="shared" si="214"/>
        <v>0.07374793616</v>
      </c>
      <c r="J208" s="73">
        <f>AVERAGE(C208:I208)</f>
        <v>0.0737080253</v>
      </c>
      <c r="K208" s="73">
        <v>0.07370802530460537</v>
      </c>
      <c r="L208" s="73">
        <v>0.07370802530460537</v>
      </c>
      <c r="M208" s="73">
        <v>0.07370802530460537</v>
      </c>
      <c r="N208" s="73">
        <v>0.07370802530460537</v>
      </c>
    </row>
    <row r="209" ht="15.75" customHeight="1">
      <c r="A209" s="81" t="s">
        <v>198</v>
      </c>
      <c r="B209" s="81">
        <f>+Historicals!B146</f>
        <v>-1097</v>
      </c>
      <c r="C209" s="81">
        <f>+Historicals!C146</f>
        <v>-1173</v>
      </c>
      <c r="D209" s="81">
        <f>+Historicals!D146</f>
        <v>-724</v>
      </c>
      <c r="E209" s="81">
        <f>+Historicals!E146</f>
        <v>-1456</v>
      </c>
      <c r="F209" s="81">
        <f>+Historicals!F146</f>
        <v>-1810</v>
      </c>
      <c r="G209" s="81">
        <f>+Historicals!G146</f>
        <v>-1967</v>
      </c>
      <c r="H209" s="81">
        <f>+Historicals!H146</f>
        <v>-2261</v>
      </c>
      <c r="I209" s="81">
        <f>+Historicals!I146</f>
        <v>-2219</v>
      </c>
      <c r="J209" s="23">
        <f t="shared" ref="J209:N209" si="215">J12-(J43+J74+J105+J136+J155+J190)</f>
        <v>-1550.667959</v>
      </c>
      <c r="K209" s="23">
        <f t="shared" si="215"/>
        <v>-1690.535547</v>
      </c>
      <c r="L209" s="23">
        <f t="shared" si="215"/>
        <v>-1866.574192</v>
      </c>
      <c r="M209" s="23">
        <f t="shared" si="215"/>
        <v>-2086.14574</v>
      </c>
      <c r="N209" s="23">
        <f t="shared" si="215"/>
        <v>-2357.931482</v>
      </c>
    </row>
    <row r="210" ht="15.75" customHeight="1">
      <c r="A210" s="82" t="s">
        <v>188</v>
      </c>
      <c r="B210" s="83" t="str">
        <f t="shared" ref="B210:N210" si="216">+IFERROR(B209/A209-1,"nm")</f>
        <v>nm</v>
      </c>
      <c r="C210" s="83">
        <f t="shared" si="216"/>
        <v>0.06927985415</v>
      </c>
      <c r="D210" s="83">
        <f t="shared" si="216"/>
        <v>-0.3827791986</v>
      </c>
      <c r="E210" s="83">
        <f t="shared" si="216"/>
        <v>1.011049724</v>
      </c>
      <c r="F210" s="83">
        <f t="shared" si="216"/>
        <v>0.2431318681</v>
      </c>
      <c r="G210" s="83">
        <f t="shared" si="216"/>
        <v>0.08674033149</v>
      </c>
      <c r="H210" s="83">
        <f t="shared" si="216"/>
        <v>0.1494661922</v>
      </c>
      <c r="I210" s="83">
        <f t="shared" si="216"/>
        <v>-0.01857585139</v>
      </c>
      <c r="J210" s="73">
        <f t="shared" si="216"/>
        <v>-0.3011861382</v>
      </c>
      <c r="K210" s="73">
        <f t="shared" si="216"/>
        <v>0.09019828315</v>
      </c>
      <c r="L210" s="73">
        <f t="shared" si="216"/>
        <v>0.1041318801</v>
      </c>
      <c r="M210" s="73">
        <f t="shared" si="216"/>
        <v>0.1176334429</v>
      </c>
      <c r="N210" s="73">
        <f t="shared" si="216"/>
        <v>0.1302812818</v>
      </c>
    </row>
    <row r="211" ht="15.75" customHeight="1">
      <c r="A211" s="82" t="s">
        <v>195</v>
      </c>
      <c r="B211" s="83">
        <f t="shared" ref="B211:I211" si="217">+IFERROR(B209/B$200,"nm")</f>
        <v>13.37804878</v>
      </c>
      <c r="C211" s="83">
        <f t="shared" si="217"/>
        <v>13.63953488</v>
      </c>
      <c r="D211" s="83">
        <f t="shared" si="217"/>
        <v>-9.653333333</v>
      </c>
      <c r="E211" s="83">
        <f t="shared" si="217"/>
        <v>-56</v>
      </c>
      <c r="F211" s="83">
        <f t="shared" si="217"/>
        <v>258.5714286</v>
      </c>
      <c r="G211" s="83">
        <f t="shared" si="217"/>
        <v>178.8181818</v>
      </c>
      <c r="H211" s="83">
        <f t="shared" si="217"/>
        <v>-56.525</v>
      </c>
      <c r="I211" s="83">
        <f t="shared" si="217"/>
        <v>30.81944444</v>
      </c>
      <c r="J211" s="73">
        <f>AVERAGE(C211:I211)</f>
        <v>51.3814652</v>
      </c>
      <c r="K211" s="73">
        <v>51.381465197777494</v>
      </c>
      <c r="L211" s="73">
        <v>51.381465197777494</v>
      </c>
      <c r="M211" s="73">
        <v>51.381465197777494</v>
      </c>
      <c r="N211" s="73">
        <v>51.381465197777494</v>
      </c>
    </row>
    <row r="212" ht="15.75" customHeight="1">
      <c r="A212" s="88" t="s">
        <v>199</v>
      </c>
      <c r="B212" s="88">
        <f>+Historicals!B168</f>
        <v>104</v>
      </c>
      <c r="C212" s="88">
        <f>+Historicals!C168</f>
        <v>264</v>
      </c>
      <c r="D212" s="88">
        <f>+Historicals!D168</f>
        <v>291</v>
      </c>
      <c r="E212" s="88">
        <f>+Historicals!E168</f>
        <v>159</v>
      </c>
      <c r="F212" s="88">
        <f>+Historicals!F168</f>
        <v>377</v>
      </c>
      <c r="G212" s="88">
        <f>+Historicals!G168</f>
        <v>318</v>
      </c>
      <c r="H212" s="88">
        <f>+Historicals!H168</f>
        <v>11</v>
      </c>
      <c r="I212" s="88">
        <f>+Historicals!I168</f>
        <v>50</v>
      </c>
      <c r="J212" s="89">
        <f t="shared" ref="J212:N212" si="218">J15-(J46+J77+J108+J139+J158+J193)</f>
        <v>499.8756871</v>
      </c>
      <c r="K212" s="89">
        <f t="shared" si="218"/>
        <v>530.6843087</v>
      </c>
      <c r="L212" s="89">
        <f t="shared" si="218"/>
        <v>562.0692725</v>
      </c>
      <c r="M212" s="89">
        <f t="shared" si="218"/>
        <v>593.8374675</v>
      </c>
      <c r="N212" s="89">
        <f t="shared" si="218"/>
        <v>625.7490145</v>
      </c>
      <c r="O212" s="49"/>
      <c r="P212" s="49"/>
      <c r="Q212" s="49"/>
      <c r="R212" s="49"/>
      <c r="S212" s="49"/>
      <c r="T212" s="49"/>
      <c r="U212" s="49"/>
      <c r="V212" s="49"/>
      <c r="W212" s="49"/>
      <c r="X212" s="49"/>
      <c r="Y212" s="49"/>
      <c r="Z212" s="49"/>
    </row>
    <row r="213" ht="15.75" customHeight="1">
      <c r="A213" s="82" t="s">
        <v>188</v>
      </c>
      <c r="B213" s="83" t="str">
        <f t="shared" ref="B213:I213" si="219">+IFERROR(B212/A212-1,"nm")</f>
        <v>nm</v>
      </c>
      <c r="C213" s="83">
        <f t="shared" si="219"/>
        <v>1.538461538</v>
      </c>
      <c r="D213" s="83">
        <f t="shared" si="219"/>
        <v>0.1022727273</v>
      </c>
      <c r="E213" s="83">
        <f t="shared" si="219"/>
        <v>-0.4536082474</v>
      </c>
      <c r="F213" s="83">
        <f t="shared" si="219"/>
        <v>1.371069182</v>
      </c>
      <c r="G213" s="83">
        <f t="shared" si="219"/>
        <v>-0.1564986737</v>
      </c>
      <c r="H213" s="83">
        <f t="shared" si="219"/>
        <v>-0.965408805</v>
      </c>
      <c r="I213" s="83">
        <f t="shared" si="219"/>
        <v>3.545454545</v>
      </c>
      <c r="J213" s="73">
        <f t="shared" ref="J213:N213" si="220">(J212-I212)/I212</f>
        <v>8.997513741</v>
      </c>
      <c r="K213" s="73">
        <f t="shared" si="220"/>
        <v>0.06163256672</v>
      </c>
      <c r="L213" s="73">
        <f t="shared" si="220"/>
        <v>0.05914055365</v>
      </c>
      <c r="M213" s="73">
        <f t="shared" si="220"/>
        <v>0.05652007064</v>
      </c>
      <c r="N213" s="73">
        <f t="shared" si="220"/>
        <v>0.05373784693</v>
      </c>
    </row>
    <row r="214" ht="15.75" customHeight="1">
      <c r="A214" s="82" t="s">
        <v>197</v>
      </c>
      <c r="B214" s="83">
        <f t="shared" ref="B214:I214" si="221">+IFERROR(B212/B$200,"nm")</f>
        <v>-1.268292683</v>
      </c>
      <c r="C214" s="83">
        <f t="shared" si="221"/>
        <v>-3.069767442</v>
      </c>
      <c r="D214" s="83">
        <f t="shared" si="221"/>
        <v>3.88</v>
      </c>
      <c r="E214" s="83">
        <f t="shared" si="221"/>
        <v>6.115384615</v>
      </c>
      <c r="F214" s="83">
        <f t="shared" si="221"/>
        <v>-53.85714286</v>
      </c>
      <c r="G214" s="83">
        <f t="shared" si="221"/>
        <v>-28.90909091</v>
      </c>
      <c r="H214" s="83">
        <f t="shared" si="221"/>
        <v>0.275</v>
      </c>
      <c r="I214" s="83">
        <f t="shared" si="221"/>
        <v>-0.6944444444</v>
      </c>
      <c r="J214" s="73">
        <f>AVERAGE(C214:I214)</f>
        <v>-10.89429443</v>
      </c>
      <c r="K214" s="73">
        <v>-10.89429443387915</v>
      </c>
      <c r="L214" s="73">
        <v>-10.89429443387915</v>
      </c>
      <c r="M214" s="73">
        <v>-10.89429443387915</v>
      </c>
      <c r="N214" s="73">
        <v>-10.89429443387915</v>
      </c>
    </row>
    <row r="215" ht="15.75" customHeight="1">
      <c r="A215" s="23" t="s">
        <v>183</v>
      </c>
      <c r="B215" s="23">
        <f>+Historicals!B157</f>
        <v>713</v>
      </c>
      <c r="C215" s="23">
        <f>+Historicals!C157</f>
        <v>937</v>
      </c>
      <c r="D215" s="23">
        <f>+Historicals!D157</f>
        <v>1238</v>
      </c>
      <c r="E215" s="23">
        <f>+Historicals!E157</f>
        <v>1450</v>
      </c>
      <c r="F215" s="23">
        <f>+Historicals!F157</f>
        <v>1673</v>
      </c>
      <c r="G215" s="23">
        <f>+Historicals!G157</f>
        <v>1916</v>
      </c>
      <c r="H215" s="90">
        <f>+Historicals!H157</f>
        <v>1870</v>
      </c>
      <c r="I215" s="90">
        <f>+Historicals!I157</f>
        <v>1817</v>
      </c>
      <c r="J215" s="23">
        <f t="shared" ref="J215:N215" si="222">J18-(J49+J80+J111+J142+J161+J196)</f>
        <v>1876.531322</v>
      </c>
      <c r="K215" s="23">
        <f t="shared" si="222"/>
        <v>1980.39807</v>
      </c>
      <c r="L215" s="23">
        <f t="shared" si="222"/>
        <v>2054.669766</v>
      </c>
      <c r="M215" s="23">
        <f t="shared" si="222"/>
        <v>2124.64866</v>
      </c>
      <c r="N215" s="23">
        <f t="shared" si="222"/>
        <v>2188.796303</v>
      </c>
    </row>
    <row r="216" ht="15.75" customHeight="1">
      <c r="A216" s="23" t="s">
        <v>138</v>
      </c>
      <c r="B216" s="73" t="str">
        <f t="shared" ref="B216:N216" si="223">+IFERROR(B215/A215-1,"nm")</f>
        <v>nm</v>
      </c>
      <c r="C216" s="73">
        <f t="shared" si="223"/>
        <v>0.3141654979</v>
      </c>
      <c r="D216" s="73">
        <f t="shared" si="223"/>
        <v>0.3212379936</v>
      </c>
      <c r="E216" s="73">
        <f t="shared" si="223"/>
        <v>0.1712439418</v>
      </c>
      <c r="F216" s="73">
        <f t="shared" si="223"/>
        <v>0.1537931034</v>
      </c>
      <c r="G216" s="73">
        <f t="shared" si="223"/>
        <v>0.1452480574</v>
      </c>
      <c r="H216" s="73">
        <f t="shared" si="223"/>
        <v>-0.02400835073</v>
      </c>
      <c r="I216" s="73">
        <f t="shared" si="223"/>
        <v>-0.02834224599</v>
      </c>
      <c r="J216" s="73">
        <f t="shared" si="223"/>
        <v>0.0327635236</v>
      </c>
      <c r="K216" s="73">
        <f t="shared" si="223"/>
        <v>0.05535039352</v>
      </c>
      <c r="L216" s="73">
        <f t="shared" si="223"/>
        <v>0.03750341794</v>
      </c>
      <c r="M216" s="73">
        <f t="shared" si="223"/>
        <v>0.0340584629</v>
      </c>
      <c r="N216" s="73">
        <f t="shared" si="223"/>
        <v>0.03019211791</v>
      </c>
    </row>
    <row r="217" ht="15.75" customHeight="1">
      <c r="A217" s="23" t="s">
        <v>179</v>
      </c>
      <c r="B217" s="73">
        <f t="shared" ref="B217:I217" si="224">+IFERROR(B215/B$200,"nm")</f>
        <v>-8.695121951</v>
      </c>
      <c r="C217" s="73">
        <f t="shared" si="224"/>
        <v>-10.89534884</v>
      </c>
      <c r="D217" s="73">
        <f t="shared" si="224"/>
        <v>16.50666667</v>
      </c>
      <c r="E217" s="73">
        <f t="shared" si="224"/>
        <v>55.76923077</v>
      </c>
      <c r="F217" s="73">
        <f t="shared" si="224"/>
        <v>-239</v>
      </c>
      <c r="G217" s="73">
        <f t="shared" si="224"/>
        <v>-174.1818182</v>
      </c>
      <c r="H217" s="73">
        <f t="shared" si="224"/>
        <v>46.75</v>
      </c>
      <c r="I217" s="73">
        <f t="shared" si="224"/>
        <v>-25.23611111</v>
      </c>
      <c r="J217" s="73">
        <f>AVERAGE(C217:I217)</f>
        <v>-47.18391153</v>
      </c>
      <c r="K217" s="73">
        <v>-47.18391152774874</v>
      </c>
      <c r="L217" s="73">
        <v>-47.18391152774874</v>
      </c>
      <c r="M217" s="73">
        <v>-47.18391152774874</v>
      </c>
      <c r="N217" s="73">
        <v>-47.18391152774874</v>
      </c>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48.86"/>
    <col customWidth="1" min="2" max="14" width="11.86"/>
    <col customWidth="1" min="15" max="15" width="46.57"/>
    <col customWidth="1" min="16" max="26" width="8.86"/>
  </cols>
  <sheetData>
    <row r="1" ht="60.0" customHeight="1">
      <c r="A1" s="91" t="s">
        <v>202</v>
      </c>
      <c r="B1" s="92">
        <f t="shared" ref="B1:H1" si="1">+C1-1</f>
        <v>2015</v>
      </c>
      <c r="C1" s="92">
        <f t="shared" si="1"/>
        <v>2016</v>
      </c>
      <c r="D1" s="92">
        <f t="shared" si="1"/>
        <v>2017</v>
      </c>
      <c r="E1" s="92">
        <f t="shared" si="1"/>
        <v>2018</v>
      </c>
      <c r="F1" s="92">
        <f t="shared" si="1"/>
        <v>2019</v>
      </c>
      <c r="G1" s="92">
        <f t="shared" si="1"/>
        <v>2020</v>
      </c>
      <c r="H1" s="92">
        <f t="shared" si="1"/>
        <v>2021</v>
      </c>
      <c r="I1" s="92">
        <v>2022.0</v>
      </c>
      <c r="J1" s="93">
        <f t="shared" ref="J1:N1" si="2">+I1+1</f>
        <v>2023</v>
      </c>
      <c r="K1" s="93">
        <f t="shared" si="2"/>
        <v>2024</v>
      </c>
      <c r="L1" s="93">
        <f t="shared" si="2"/>
        <v>2025</v>
      </c>
      <c r="M1" s="93">
        <f t="shared" si="2"/>
        <v>2026</v>
      </c>
      <c r="N1" s="93">
        <f t="shared" si="2"/>
        <v>2027</v>
      </c>
      <c r="O1" s="94" t="s">
        <v>203</v>
      </c>
      <c r="P1" s="2"/>
      <c r="Q1" s="2"/>
      <c r="R1" s="2"/>
      <c r="S1" s="2"/>
      <c r="T1" s="2"/>
      <c r="U1" s="2"/>
      <c r="V1" s="2"/>
      <c r="W1" s="2"/>
      <c r="X1" s="2"/>
      <c r="Y1" s="2"/>
      <c r="Z1" s="2"/>
    </row>
    <row r="2">
      <c r="A2" s="95" t="s">
        <v>204</v>
      </c>
      <c r="B2" s="96"/>
      <c r="C2" s="96"/>
      <c r="D2" s="96"/>
      <c r="E2" s="96"/>
      <c r="F2" s="96"/>
      <c r="G2" s="96"/>
      <c r="H2" s="96"/>
      <c r="I2" s="96"/>
      <c r="J2" s="97"/>
      <c r="K2" s="97"/>
      <c r="L2" s="97"/>
      <c r="M2" s="97"/>
      <c r="N2" s="97"/>
      <c r="O2" s="98"/>
      <c r="P2" s="2"/>
      <c r="Q2" s="2"/>
      <c r="R2" s="2"/>
      <c r="S2" s="2"/>
      <c r="T2" s="2"/>
      <c r="U2" s="2"/>
      <c r="V2" s="2"/>
      <c r="W2" s="2"/>
      <c r="X2" s="2"/>
      <c r="Y2" s="2"/>
      <c r="Z2" s="2"/>
    </row>
    <row r="3">
      <c r="A3" s="3" t="s">
        <v>184</v>
      </c>
      <c r="B3" s="6">
        <f>Historicals!B2</f>
        <v>30601</v>
      </c>
      <c r="C3" s="6">
        <f>Historicals!C2</f>
        <v>32376</v>
      </c>
      <c r="D3" s="6">
        <f>Historicals!D2</f>
        <v>34350</v>
      </c>
      <c r="E3" s="6">
        <f>Historicals!E2</f>
        <v>36397</v>
      </c>
      <c r="F3" s="6">
        <f>Historicals!F2</f>
        <v>39117</v>
      </c>
      <c r="G3" s="6">
        <f>Historicals!G2</f>
        <v>37403</v>
      </c>
      <c r="H3" s="6">
        <f>Historicals!H2</f>
        <v>44538</v>
      </c>
      <c r="I3" s="6">
        <f>Historicals!I2</f>
        <v>46710</v>
      </c>
      <c r="J3" s="6">
        <f>'Segmental forecast'!J3</f>
        <v>49693.28636</v>
      </c>
      <c r="K3" s="6">
        <f>'Segmental forecast'!K3</f>
        <v>52867.11002</v>
      </c>
      <c r="L3" s="6">
        <f>'Segmental forecast'!L3</f>
        <v>56243.64027</v>
      </c>
      <c r="M3" s="6">
        <f>'Segmental forecast'!M3</f>
        <v>59835.82363</v>
      </c>
      <c r="N3" s="6">
        <f>'Segmental forecast'!N3</f>
        <v>63657.43349</v>
      </c>
      <c r="O3" s="66" t="s">
        <v>205</v>
      </c>
      <c r="P3" s="2"/>
      <c r="Q3" s="2"/>
      <c r="R3" s="2"/>
      <c r="S3" s="2"/>
      <c r="T3" s="2"/>
      <c r="U3" s="2"/>
      <c r="V3" s="2"/>
      <c r="W3" s="2"/>
      <c r="X3" s="2"/>
      <c r="Y3" s="2"/>
      <c r="Z3" s="2"/>
    </row>
    <row r="4">
      <c r="A4" s="99" t="s">
        <v>138</v>
      </c>
      <c r="B4" s="7" t="str">
        <f t="shared" ref="B4:N4" si="3">+IFERROR(B3/A3-1,"nm")</f>
        <v>nm</v>
      </c>
      <c r="C4" s="7">
        <f t="shared" si="3"/>
        <v>0.05800464037</v>
      </c>
      <c r="D4" s="7">
        <f t="shared" si="3"/>
        <v>0.0609710897</v>
      </c>
      <c r="E4" s="7">
        <f t="shared" si="3"/>
        <v>0.05959243086</v>
      </c>
      <c r="F4" s="7">
        <f t="shared" si="3"/>
        <v>0.07473143391</v>
      </c>
      <c r="G4" s="7">
        <f t="shared" si="3"/>
        <v>-0.04381726615</v>
      </c>
      <c r="H4" s="7">
        <f t="shared" si="3"/>
        <v>0.1907600995</v>
      </c>
      <c r="I4" s="7">
        <f t="shared" si="3"/>
        <v>0.04876734474</v>
      </c>
      <c r="J4" s="7">
        <f t="shared" si="3"/>
        <v>0.06386825857</v>
      </c>
      <c r="K4" s="7">
        <f t="shared" si="3"/>
        <v>0.06386825857</v>
      </c>
      <c r="L4" s="7">
        <f t="shared" si="3"/>
        <v>0.06386825857</v>
      </c>
      <c r="M4" s="7">
        <f t="shared" si="3"/>
        <v>0.06386825857</v>
      </c>
      <c r="N4" s="7">
        <f t="shared" si="3"/>
        <v>0.06386825857</v>
      </c>
      <c r="O4" s="66" t="s">
        <v>206</v>
      </c>
      <c r="P4" s="2"/>
      <c r="Q4" s="2"/>
      <c r="R4" s="2"/>
      <c r="S4" s="2"/>
      <c r="T4" s="2"/>
      <c r="U4" s="2"/>
      <c r="V4" s="2"/>
      <c r="W4" s="2"/>
      <c r="X4" s="2"/>
      <c r="Y4" s="2"/>
      <c r="Z4" s="2"/>
    </row>
    <row r="5">
      <c r="A5" s="3" t="s">
        <v>207</v>
      </c>
      <c r="B5" s="6">
        <f t="shared" ref="B5:I5" si="4">B6+B7</f>
        <v>4839</v>
      </c>
      <c r="C5" s="6">
        <f t="shared" si="4"/>
        <v>5291</v>
      </c>
      <c r="D5" s="6">
        <f t="shared" si="4"/>
        <v>5651</v>
      </c>
      <c r="E5" s="6">
        <f t="shared" si="4"/>
        <v>5126</v>
      </c>
      <c r="F5" s="6">
        <f t="shared" si="4"/>
        <v>5555</v>
      </c>
      <c r="G5" s="6">
        <f t="shared" si="4"/>
        <v>3697</v>
      </c>
      <c r="H5" s="6">
        <f t="shared" si="4"/>
        <v>7667</v>
      </c>
      <c r="I5" s="6">
        <f t="shared" si="4"/>
        <v>7573</v>
      </c>
      <c r="J5" s="6">
        <f>'Segmental forecast'!J5</f>
        <v>7466.081197</v>
      </c>
      <c r="K5" s="6">
        <f>'Segmental forecast'!K5</f>
        <v>7942.926801</v>
      </c>
      <c r="L5" s="6">
        <f>'Segmental forecast'!L5</f>
        <v>8450.227704</v>
      </c>
      <c r="M5" s="6">
        <f>'Segmental forecast'!M5</f>
        <v>8989.929032</v>
      </c>
      <c r="N5" s="6">
        <f>'Segmental forecast'!N5</f>
        <v>9564.100144</v>
      </c>
      <c r="O5" s="66" t="s">
        <v>205</v>
      </c>
      <c r="P5" s="2"/>
      <c r="Q5" s="2"/>
      <c r="R5" s="2"/>
      <c r="S5" s="2"/>
      <c r="T5" s="2"/>
      <c r="U5" s="2"/>
      <c r="V5" s="2"/>
      <c r="W5" s="2"/>
      <c r="X5" s="2"/>
      <c r="Y5" s="2"/>
      <c r="Z5" s="2"/>
    </row>
    <row r="6">
      <c r="A6" s="6" t="s">
        <v>177</v>
      </c>
      <c r="B6" s="6">
        <f>Historicals!B66</f>
        <v>606</v>
      </c>
      <c r="C6" s="6">
        <f>Historicals!C66</f>
        <v>649</v>
      </c>
      <c r="D6" s="6">
        <f>Historicals!D66</f>
        <v>706</v>
      </c>
      <c r="E6" s="6">
        <f>Historicals!E66</f>
        <v>747</v>
      </c>
      <c r="F6" s="6">
        <f>Historicals!F66</f>
        <v>705</v>
      </c>
      <c r="G6" s="6">
        <f>Historicals!G66</f>
        <v>721</v>
      </c>
      <c r="H6" s="6">
        <f>Historicals!H66</f>
        <v>744</v>
      </c>
      <c r="I6" s="6">
        <f>Historicals!I66</f>
        <v>717</v>
      </c>
      <c r="J6" s="6">
        <f>'Segmental forecast'!J8</f>
        <v>937.1911121</v>
      </c>
      <c r="K6" s="6">
        <f>'Segmental forecast'!K8</f>
        <v>997.0478764</v>
      </c>
      <c r="L6" s="6">
        <f>'Segmental forecast'!L8</f>
        <v>1060.727588</v>
      </c>
      <c r="M6" s="6">
        <f>'Segmental forecast'!M8</f>
        <v>1128.474412</v>
      </c>
      <c r="N6" s="6">
        <f>'Segmental forecast'!N8</f>
        <v>1200.548107</v>
      </c>
      <c r="O6" s="66" t="s">
        <v>205</v>
      </c>
      <c r="P6" s="2"/>
      <c r="Q6" s="2"/>
      <c r="R6" s="2"/>
      <c r="S6" s="2"/>
      <c r="T6" s="2"/>
      <c r="U6" s="2"/>
      <c r="V6" s="2"/>
      <c r="W6" s="2"/>
      <c r="X6" s="2"/>
      <c r="Y6" s="2"/>
      <c r="Z6" s="2"/>
    </row>
    <row r="7">
      <c r="A7" s="100" t="s">
        <v>181</v>
      </c>
      <c r="B7" s="101">
        <f>Historicals!B147</f>
        <v>4233</v>
      </c>
      <c r="C7" s="101">
        <f>Historicals!C147</f>
        <v>4642</v>
      </c>
      <c r="D7" s="101">
        <f>Historicals!D147</f>
        <v>4945</v>
      </c>
      <c r="E7" s="101">
        <f>Historicals!E147</f>
        <v>4379</v>
      </c>
      <c r="F7" s="101">
        <f>Historicals!F147</f>
        <v>4850</v>
      </c>
      <c r="G7" s="101">
        <f>Historicals!G147</f>
        <v>2976</v>
      </c>
      <c r="H7" s="101">
        <f>Historicals!H147</f>
        <v>6923</v>
      </c>
      <c r="I7" s="101">
        <f>Historicals!I147</f>
        <v>6856</v>
      </c>
      <c r="J7" s="101">
        <f>'Segmental forecast'!J12</f>
        <v>6528.890085</v>
      </c>
      <c r="K7" s="101">
        <f>'Segmental forecast'!K12</f>
        <v>6945.878925</v>
      </c>
      <c r="L7" s="101">
        <f>'Segmental forecast'!L12</f>
        <v>7389.500116</v>
      </c>
      <c r="M7" s="101">
        <f>'Segmental forecast'!M12</f>
        <v>7861.45462</v>
      </c>
      <c r="N7" s="101">
        <f>'Segmental forecast'!N12</f>
        <v>8363.552037</v>
      </c>
      <c r="O7" s="66" t="s">
        <v>205</v>
      </c>
      <c r="P7" s="2"/>
      <c r="Q7" s="2"/>
      <c r="R7" s="2"/>
      <c r="S7" s="2"/>
      <c r="T7" s="2"/>
      <c r="U7" s="2"/>
      <c r="V7" s="2"/>
      <c r="W7" s="2"/>
      <c r="X7" s="2"/>
      <c r="Y7" s="2"/>
      <c r="Z7" s="2"/>
    </row>
    <row r="8">
      <c r="A8" s="99" t="s">
        <v>138</v>
      </c>
      <c r="B8" s="7" t="str">
        <f t="shared" ref="B8:N8" si="5">+IFERROR(B7/A7-1,"nm")</f>
        <v>nm</v>
      </c>
      <c r="C8" s="7">
        <f t="shared" si="5"/>
        <v>0.09662178124</v>
      </c>
      <c r="D8" s="7">
        <f t="shared" si="5"/>
        <v>0.06527358897</v>
      </c>
      <c r="E8" s="7">
        <f t="shared" si="5"/>
        <v>-0.1144590495</v>
      </c>
      <c r="F8" s="7">
        <f t="shared" si="5"/>
        <v>0.1075588034</v>
      </c>
      <c r="G8" s="7">
        <f t="shared" si="5"/>
        <v>-0.3863917526</v>
      </c>
      <c r="H8" s="7">
        <f t="shared" si="5"/>
        <v>1.326276882</v>
      </c>
      <c r="I8" s="7">
        <f t="shared" si="5"/>
        <v>-0.00967788531</v>
      </c>
      <c r="J8" s="7">
        <f t="shared" si="5"/>
        <v>-0.04771148121</v>
      </c>
      <c r="K8" s="7">
        <f t="shared" si="5"/>
        <v>0.06386825857</v>
      </c>
      <c r="L8" s="7">
        <f t="shared" si="5"/>
        <v>0.06386825857</v>
      </c>
      <c r="M8" s="7">
        <f t="shared" si="5"/>
        <v>0.06386825857</v>
      </c>
      <c r="N8" s="7">
        <f t="shared" si="5"/>
        <v>0.06386825857</v>
      </c>
      <c r="O8" s="102"/>
      <c r="P8" s="2"/>
      <c r="Q8" s="2"/>
      <c r="R8" s="2"/>
      <c r="S8" s="2"/>
      <c r="T8" s="2"/>
      <c r="U8" s="2"/>
      <c r="V8" s="2"/>
      <c r="W8" s="2"/>
      <c r="X8" s="2"/>
      <c r="Y8" s="2"/>
      <c r="Z8" s="2"/>
    </row>
    <row r="9">
      <c r="A9" s="99" t="s">
        <v>176</v>
      </c>
      <c r="B9" s="7">
        <f t="shared" ref="B9:N9" si="6">B7/B$3</f>
        <v>0.1383288128</v>
      </c>
      <c r="C9" s="7">
        <f t="shared" si="6"/>
        <v>0.1433778107</v>
      </c>
      <c r="D9" s="7">
        <f t="shared" si="6"/>
        <v>0.1439592431</v>
      </c>
      <c r="E9" s="7">
        <f t="shared" si="6"/>
        <v>0.1203121136</v>
      </c>
      <c r="F9" s="7">
        <f t="shared" si="6"/>
        <v>0.1239870133</v>
      </c>
      <c r="G9" s="7">
        <f t="shared" si="6"/>
        <v>0.07956581023</v>
      </c>
      <c r="H9" s="7">
        <f t="shared" si="6"/>
        <v>0.1554402982</v>
      </c>
      <c r="I9" s="7">
        <f t="shared" si="6"/>
        <v>0.1467779919</v>
      </c>
      <c r="J9" s="7">
        <f t="shared" si="6"/>
        <v>0.1313837454</v>
      </c>
      <c r="K9" s="7">
        <f t="shared" si="6"/>
        <v>0.1313837454</v>
      </c>
      <c r="L9" s="7">
        <f t="shared" si="6"/>
        <v>0.1313837454</v>
      </c>
      <c r="M9" s="7">
        <f t="shared" si="6"/>
        <v>0.1313837454</v>
      </c>
      <c r="N9" s="7">
        <f t="shared" si="6"/>
        <v>0.1313837454</v>
      </c>
      <c r="O9" s="102"/>
      <c r="P9" s="2"/>
      <c r="Q9" s="2"/>
      <c r="R9" s="2"/>
      <c r="S9" s="2"/>
      <c r="T9" s="2"/>
      <c r="U9" s="2"/>
      <c r="V9" s="2"/>
      <c r="W9" s="2"/>
      <c r="X9" s="2"/>
      <c r="Y9" s="2"/>
      <c r="Z9" s="2"/>
    </row>
    <row r="10">
      <c r="A10" s="2" t="s">
        <v>45</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 t="shared" ref="J10:N10" si="7">J52</f>
        <v>125.7502082</v>
      </c>
      <c r="K10" s="6">
        <f t="shared" si="7"/>
        <v>125.7502082</v>
      </c>
      <c r="L10" s="6">
        <f t="shared" si="7"/>
        <v>125.7502082</v>
      </c>
      <c r="M10" s="6">
        <f t="shared" si="7"/>
        <v>125.7502082</v>
      </c>
      <c r="N10" s="6">
        <f t="shared" si="7"/>
        <v>125.7502082</v>
      </c>
      <c r="O10" s="103" t="s">
        <v>208</v>
      </c>
      <c r="P10" s="2"/>
      <c r="Q10" s="2"/>
      <c r="R10" s="2"/>
      <c r="S10" s="2"/>
      <c r="T10" s="2"/>
      <c r="U10" s="2"/>
      <c r="V10" s="2"/>
      <c r="W10" s="2"/>
      <c r="X10" s="2"/>
      <c r="Y10" s="2"/>
      <c r="Z10" s="2"/>
    </row>
    <row r="11">
      <c r="A11" s="8"/>
      <c r="B11" s="8"/>
      <c r="C11" s="8"/>
      <c r="D11" s="8"/>
      <c r="E11" s="8"/>
      <c r="F11" s="8"/>
      <c r="G11" s="8"/>
      <c r="H11" s="8"/>
      <c r="I11" s="8"/>
      <c r="J11" s="8"/>
      <c r="K11" s="8"/>
      <c r="L11" s="8"/>
      <c r="M11" s="8"/>
      <c r="N11" s="8"/>
      <c r="O11" s="98"/>
      <c r="P11" s="8"/>
      <c r="Q11" s="8"/>
      <c r="R11" s="8"/>
      <c r="S11" s="8"/>
      <c r="T11" s="8"/>
      <c r="U11" s="8"/>
      <c r="V11" s="8"/>
      <c r="W11" s="8"/>
      <c r="X11" s="8"/>
      <c r="Y11" s="8"/>
      <c r="Z11" s="8"/>
    </row>
    <row r="12">
      <c r="A12" s="100" t="s">
        <v>209</v>
      </c>
      <c r="B12" s="101">
        <f>Historicals!B10</f>
        <v>4205</v>
      </c>
      <c r="C12" s="101">
        <f>Historicals!C10</f>
        <v>4623</v>
      </c>
      <c r="D12" s="101">
        <f>Historicals!D10</f>
        <v>4886</v>
      </c>
      <c r="E12" s="101">
        <f>Historicals!E10</f>
        <v>4325</v>
      </c>
      <c r="F12" s="101">
        <f>Historicals!F10</f>
        <v>4801</v>
      </c>
      <c r="G12" s="101">
        <f>Historicals!G10</f>
        <v>2887</v>
      </c>
      <c r="H12" s="101">
        <f>Historicals!H10</f>
        <v>6661</v>
      </c>
      <c r="I12" s="101">
        <f>Historicals!I10</f>
        <v>6651</v>
      </c>
      <c r="J12" s="101">
        <f t="shared" ref="J12:N12" si="8">J7-J10</f>
        <v>6403.139877</v>
      </c>
      <c r="K12" s="101">
        <f t="shared" si="8"/>
        <v>6820.128717</v>
      </c>
      <c r="L12" s="101">
        <f t="shared" si="8"/>
        <v>7263.749908</v>
      </c>
      <c r="M12" s="101">
        <f t="shared" si="8"/>
        <v>7735.704412</v>
      </c>
      <c r="N12" s="101">
        <f t="shared" si="8"/>
        <v>8237.801829</v>
      </c>
      <c r="O12" s="98"/>
      <c r="P12" s="2"/>
      <c r="Q12" s="2"/>
      <c r="R12" s="2"/>
      <c r="S12" s="2"/>
      <c r="T12" s="2"/>
      <c r="U12" s="2"/>
      <c r="V12" s="2"/>
      <c r="W12" s="2"/>
      <c r="X12" s="2"/>
      <c r="Y12" s="2"/>
      <c r="Z12" s="2"/>
    </row>
    <row r="13">
      <c r="A13" s="2" t="s">
        <v>48</v>
      </c>
      <c r="B13" s="6">
        <f>Historicals!B11</f>
        <v>932</v>
      </c>
      <c r="C13" s="6">
        <f>Historicals!C11</f>
        <v>863</v>
      </c>
      <c r="D13" s="6">
        <f>Historicals!D11</f>
        <v>646</v>
      </c>
      <c r="E13" s="6">
        <f>Historicals!E11</f>
        <v>2392</v>
      </c>
      <c r="F13" s="6">
        <f>Historicals!F11</f>
        <v>772</v>
      </c>
      <c r="G13" s="6">
        <f>Historicals!G11</f>
        <v>348</v>
      </c>
      <c r="H13" s="6">
        <f>Historicals!H11</f>
        <v>934</v>
      </c>
      <c r="I13" s="6">
        <f>Historicals!I11</f>
        <v>605</v>
      </c>
      <c r="J13" s="6">
        <f t="shared" ref="J13:N13" si="9">J12*J14</f>
        <v>1285.524324</v>
      </c>
      <c r="K13" s="6">
        <f t="shared" si="9"/>
        <v>1369.240955</v>
      </c>
      <c r="L13" s="6">
        <f t="shared" si="9"/>
        <v>1458.304421</v>
      </c>
      <c r="M13" s="6">
        <f t="shared" si="9"/>
        <v>1553.056216</v>
      </c>
      <c r="N13" s="6">
        <f t="shared" si="9"/>
        <v>1653.859643</v>
      </c>
      <c r="O13" s="66" t="s">
        <v>210</v>
      </c>
      <c r="P13" s="2"/>
      <c r="Q13" s="2"/>
      <c r="R13" s="2"/>
      <c r="S13" s="2"/>
      <c r="T13" s="2"/>
      <c r="U13" s="2"/>
      <c r="V13" s="2"/>
      <c r="W13" s="2"/>
      <c r="X13" s="2"/>
      <c r="Y13" s="2"/>
      <c r="Z13" s="2"/>
    </row>
    <row r="14">
      <c r="A14" s="99" t="s">
        <v>211</v>
      </c>
      <c r="B14" s="7">
        <f t="shared" ref="B14:I14" si="10">B13/B12</f>
        <v>0.2216409037</v>
      </c>
      <c r="C14" s="7">
        <f t="shared" si="10"/>
        <v>0.1866753191</v>
      </c>
      <c r="D14" s="7">
        <f t="shared" si="10"/>
        <v>0.1322144904</v>
      </c>
      <c r="E14" s="7">
        <f t="shared" si="10"/>
        <v>0.5530635838</v>
      </c>
      <c r="F14" s="7">
        <f t="shared" si="10"/>
        <v>0.1607998334</v>
      </c>
      <c r="G14" s="7">
        <f t="shared" si="10"/>
        <v>0.1205403533</v>
      </c>
      <c r="H14" s="7">
        <f t="shared" si="10"/>
        <v>0.1402191863</v>
      </c>
      <c r="I14" s="7">
        <f t="shared" si="10"/>
        <v>0.09096376485</v>
      </c>
      <c r="J14" s="104">
        <f>AVERAGE(B14:I14)</f>
        <v>0.2007646793</v>
      </c>
      <c r="K14" s="104">
        <v>0.20076467934630246</v>
      </c>
      <c r="L14" s="104">
        <v>0.20076467934630246</v>
      </c>
      <c r="M14" s="104">
        <v>0.20076467934630246</v>
      </c>
      <c r="N14" s="104">
        <v>0.20076467934630246</v>
      </c>
      <c r="O14" s="98"/>
      <c r="P14" s="2"/>
      <c r="Q14" s="2"/>
      <c r="R14" s="2"/>
      <c r="S14" s="2"/>
      <c r="T14" s="2"/>
      <c r="U14" s="2"/>
      <c r="V14" s="2"/>
      <c r="W14" s="2"/>
      <c r="X14" s="2"/>
      <c r="Y14" s="2"/>
      <c r="Z14" s="2"/>
    </row>
    <row r="15">
      <c r="A15" s="105" t="s">
        <v>212</v>
      </c>
      <c r="B15" s="106">
        <f>Historicals!B12</f>
        <v>3273</v>
      </c>
      <c r="C15" s="106">
        <f>Historicals!C12</f>
        <v>3760</v>
      </c>
      <c r="D15" s="106">
        <f>Historicals!D12</f>
        <v>4240</v>
      </c>
      <c r="E15" s="106">
        <f>Historicals!E12</f>
        <v>1933</v>
      </c>
      <c r="F15" s="106">
        <f>Historicals!F12</f>
        <v>4029</v>
      </c>
      <c r="G15" s="106">
        <f>Historicals!G12</f>
        <v>2539</v>
      </c>
      <c r="H15" s="106">
        <f>Historicals!H12</f>
        <v>5727</v>
      </c>
      <c r="I15" s="106">
        <f>Historicals!I12</f>
        <v>6046</v>
      </c>
      <c r="J15" s="106">
        <f t="shared" ref="J15:N15" si="11">J12-J13</f>
        <v>5117.615553</v>
      </c>
      <c r="K15" s="106">
        <f t="shared" si="11"/>
        <v>5450.887762</v>
      </c>
      <c r="L15" s="106">
        <f t="shared" si="11"/>
        <v>5805.445487</v>
      </c>
      <c r="M15" s="106">
        <f t="shared" si="11"/>
        <v>6182.648196</v>
      </c>
      <c r="N15" s="106">
        <f t="shared" si="11"/>
        <v>6583.942186</v>
      </c>
      <c r="O15" s="98"/>
      <c r="P15" s="2"/>
      <c r="Q15" s="2"/>
      <c r="R15" s="2"/>
      <c r="S15" s="2"/>
      <c r="T15" s="2"/>
      <c r="U15" s="2"/>
      <c r="V15" s="2"/>
      <c r="W15" s="2"/>
      <c r="X15" s="2"/>
      <c r="Y15" s="2"/>
      <c r="Z15" s="2"/>
    </row>
    <row r="16">
      <c r="A16" s="2" t="s">
        <v>213</v>
      </c>
      <c r="B16" s="6">
        <f>Historicals!B18</f>
        <v>1768.8</v>
      </c>
      <c r="C16" s="6">
        <f>Historicals!C18</f>
        <v>1742.5</v>
      </c>
      <c r="D16" s="6">
        <f>Historicals!D18</f>
        <v>1692</v>
      </c>
      <c r="E16" s="6">
        <f>Historicals!E18</f>
        <v>1659.1</v>
      </c>
      <c r="F16" s="6">
        <f>Historicals!F18</f>
        <v>1618.4</v>
      </c>
      <c r="G16" s="6">
        <f>Historicals!G18</f>
        <v>1591.6</v>
      </c>
      <c r="H16" s="6">
        <f>Historicals!H18</f>
        <v>1609.4</v>
      </c>
      <c r="I16" s="6">
        <f>Historicals!I18</f>
        <v>1610.8</v>
      </c>
      <c r="J16" s="6">
        <v>1610.8</v>
      </c>
      <c r="K16" s="6">
        <v>1610.8</v>
      </c>
      <c r="L16" s="6">
        <v>1610.8</v>
      </c>
      <c r="M16" s="6">
        <v>1610.8</v>
      </c>
      <c r="N16" s="6">
        <v>1610.8</v>
      </c>
      <c r="O16" s="103" t="s">
        <v>214</v>
      </c>
      <c r="P16" s="2"/>
      <c r="Q16" s="2"/>
      <c r="R16" s="2"/>
      <c r="S16" s="2"/>
      <c r="T16" s="2"/>
      <c r="U16" s="2"/>
      <c r="V16" s="2"/>
      <c r="W16" s="2"/>
      <c r="X16" s="2"/>
      <c r="Y16" s="2"/>
      <c r="Z16" s="2"/>
    </row>
    <row r="17">
      <c r="A17" s="2" t="s">
        <v>215</v>
      </c>
      <c r="B17" s="107">
        <f>Historicals!B15</f>
        <v>1.85</v>
      </c>
      <c r="C17" s="107">
        <f>Historicals!C15</f>
        <v>2.16</v>
      </c>
      <c r="D17" s="107">
        <f>Historicals!D15</f>
        <v>2.51</v>
      </c>
      <c r="E17" s="107">
        <f>Historicals!E15</f>
        <v>1.17</v>
      </c>
      <c r="F17" s="107">
        <f>Historicals!F15</f>
        <v>2.49</v>
      </c>
      <c r="G17" s="107">
        <f>Historicals!G15</f>
        <v>1.6</v>
      </c>
      <c r="H17" s="107">
        <f>Historicals!H15</f>
        <v>3.56</v>
      </c>
      <c r="I17" s="107">
        <f>Historicals!I15</f>
        <v>3.75</v>
      </c>
      <c r="J17" s="107">
        <f t="shared" ref="J17:N17" si="12">J15/J16</f>
        <v>3.177064535</v>
      </c>
      <c r="K17" s="107">
        <f t="shared" si="12"/>
        <v>3.3839631</v>
      </c>
      <c r="L17" s="107">
        <f t="shared" si="12"/>
        <v>3.604075917</v>
      </c>
      <c r="M17" s="107">
        <f t="shared" si="12"/>
        <v>3.838246956</v>
      </c>
      <c r="N17" s="107">
        <f t="shared" si="12"/>
        <v>4.087374091</v>
      </c>
      <c r="O17" s="103" t="s">
        <v>216</v>
      </c>
      <c r="P17" s="2"/>
      <c r="Q17" s="2"/>
      <c r="R17" s="2"/>
      <c r="S17" s="2"/>
      <c r="T17" s="2"/>
      <c r="U17" s="2"/>
      <c r="V17" s="2"/>
      <c r="W17" s="2"/>
      <c r="X17" s="2"/>
      <c r="Y17" s="2"/>
      <c r="Z17" s="2"/>
    </row>
    <row r="18">
      <c r="A18" s="2" t="s">
        <v>217</v>
      </c>
      <c r="B18" s="107">
        <f>+IFERROR(-Historicals!B94/Historicals!B18,"nm")</f>
        <v>1.432609679</v>
      </c>
      <c r="C18" s="107">
        <f>+IFERROR(-Historicals!C94/Historicals!C18,"nm")</f>
        <v>0.5865136298</v>
      </c>
      <c r="D18" s="107">
        <f>+IFERROR(-Historicals!D94/Historicals!D18,"nm")</f>
        <v>0.6696217494</v>
      </c>
      <c r="E18" s="107">
        <f>+IFERROR(-Historicals!E94/Historicals!E18,"nm")</f>
        <v>0.7492013742</v>
      </c>
      <c r="F18" s="107">
        <f>+IFERROR(-Historicals!F94/Historicals!F18,"nm")</f>
        <v>0.8230350964</v>
      </c>
      <c r="G18" s="107">
        <f>+IFERROR(-Historicals!G94/Historicals!G18,"nm")</f>
        <v>0.91228952</v>
      </c>
      <c r="H18" s="107">
        <f>+IFERROR(-Historicals!H94/Historicals!H18,"nm")</f>
        <v>1.017770598</v>
      </c>
      <c r="I18" s="107">
        <f>+IFERROR(-Historicals!I94/Historicals!I18,"nm")</f>
        <v>1.140427117</v>
      </c>
      <c r="J18" s="107">
        <f t="shared" ref="J18:N18" si="13">J17*J20</f>
        <v>1.369558393</v>
      </c>
      <c r="K18" s="107">
        <f t="shared" si="13"/>
        <v>1.458747537</v>
      </c>
      <c r="L18" s="107">
        <f t="shared" si="13"/>
        <v>1.553633037</v>
      </c>
      <c r="M18" s="107">
        <f t="shared" si="13"/>
        <v>1.654578708</v>
      </c>
      <c r="N18" s="107">
        <f t="shared" si="13"/>
        <v>1.761971603</v>
      </c>
      <c r="O18" s="103" t="s">
        <v>216</v>
      </c>
      <c r="P18" s="2"/>
      <c r="Q18" s="2"/>
      <c r="R18" s="2"/>
      <c r="S18" s="2"/>
      <c r="T18" s="2"/>
      <c r="U18" s="2"/>
      <c r="V18" s="2"/>
      <c r="W18" s="2"/>
      <c r="X18" s="2"/>
      <c r="Y18" s="2"/>
      <c r="Z18" s="2"/>
    </row>
    <row r="19">
      <c r="A19" s="99" t="s">
        <v>138</v>
      </c>
      <c r="B19" s="7" t="str">
        <f t="shared" ref="B19:N19" si="14">+IFERROR(B18/A18-1,"nm")</f>
        <v>nm</v>
      </c>
      <c r="C19" s="7">
        <f t="shared" si="14"/>
        <v>-0.5905977473</v>
      </c>
      <c r="D19" s="7">
        <f t="shared" si="14"/>
        <v>0.1416985307</v>
      </c>
      <c r="E19" s="7">
        <f t="shared" si="14"/>
        <v>0.1188426524</v>
      </c>
      <c r="F19" s="7">
        <f t="shared" si="14"/>
        <v>0.09854990219</v>
      </c>
      <c r="G19" s="7">
        <f t="shared" si="14"/>
        <v>0.1084454648</v>
      </c>
      <c r="H19" s="7">
        <f t="shared" si="14"/>
        <v>0.1156223715</v>
      </c>
      <c r="I19" s="7">
        <f t="shared" si="14"/>
        <v>0.1205148975</v>
      </c>
      <c r="J19" s="7">
        <f t="shared" si="14"/>
        <v>0.2009170711</v>
      </c>
      <c r="K19" s="7">
        <f t="shared" si="14"/>
        <v>0.06512255677</v>
      </c>
      <c r="L19" s="7">
        <f t="shared" si="14"/>
        <v>0.06504586784</v>
      </c>
      <c r="M19" s="7">
        <f t="shared" si="14"/>
        <v>0.06497394736</v>
      </c>
      <c r="N19" s="7">
        <f t="shared" si="14"/>
        <v>0.0649064894</v>
      </c>
      <c r="O19" s="98"/>
      <c r="P19" s="2"/>
      <c r="Q19" s="2"/>
      <c r="R19" s="2"/>
      <c r="S19" s="2"/>
      <c r="T19" s="2"/>
      <c r="U19" s="2"/>
      <c r="V19" s="2"/>
      <c r="W19" s="2"/>
      <c r="X19" s="2"/>
      <c r="Y19" s="2"/>
      <c r="Z19" s="2"/>
    </row>
    <row r="20">
      <c r="A20" s="99" t="s">
        <v>218</v>
      </c>
      <c r="B20" s="7">
        <f>-Historicals!B94/Historicals!B12</f>
        <v>0.77421326</v>
      </c>
      <c r="C20" s="7">
        <f>-Historicals!C94/Historicals!C12</f>
        <v>0.2718085106</v>
      </c>
      <c r="D20" s="7">
        <f>-Historicals!D94/Historicals!D12</f>
        <v>0.2672169811</v>
      </c>
      <c r="E20" s="7">
        <f>-Historicals!E94/Historicals!E12</f>
        <v>0.6430419038</v>
      </c>
      <c r="F20" s="7">
        <f>-Historicals!F94/Historicals!F12</f>
        <v>0.3306031273</v>
      </c>
      <c r="G20" s="7">
        <f>-Historicals!G94/Historicals!G12</f>
        <v>0.5718786924</v>
      </c>
      <c r="H20" s="7">
        <f>-Historicals!H94/Historicals!H12</f>
        <v>0.2860136197</v>
      </c>
      <c r="I20" s="7">
        <f>-Historicals!I94/Historicals!I12</f>
        <v>0.3038372478</v>
      </c>
      <c r="J20" s="7">
        <f>AVERAGE(B20:I20)</f>
        <v>0.4310766678</v>
      </c>
      <c r="K20" s="7">
        <v>0.43107666784271914</v>
      </c>
      <c r="L20" s="7">
        <v>0.43107666784271914</v>
      </c>
      <c r="M20" s="7">
        <v>0.43107666784271914</v>
      </c>
      <c r="N20" s="7">
        <v>0.43107666784271914</v>
      </c>
      <c r="O20" s="66" t="s">
        <v>219</v>
      </c>
      <c r="P20" s="2"/>
      <c r="Q20" s="2"/>
      <c r="R20" s="2"/>
      <c r="S20" s="2"/>
      <c r="T20" s="2"/>
      <c r="U20" s="2"/>
      <c r="V20" s="2"/>
      <c r="W20" s="2"/>
      <c r="X20" s="2"/>
      <c r="Y20" s="2"/>
      <c r="Z20" s="2"/>
    </row>
    <row r="21">
      <c r="A21" s="108" t="s">
        <v>220</v>
      </c>
      <c r="B21" s="96"/>
      <c r="C21" s="96"/>
      <c r="D21" s="96"/>
      <c r="E21" s="96"/>
      <c r="F21" s="96"/>
      <c r="G21" s="96"/>
      <c r="H21" s="96"/>
      <c r="I21" s="96"/>
      <c r="J21" s="97"/>
      <c r="K21" s="97"/>
      <c r="L21" s="97"/>
      <c r="M21" s="97"/>
      <c r="N21" s="97"/>
      <c r="O21" s="98"/>
      <c r="P21" s="2"/>
      <c r="Q21" s="2"/>
      <c r="R21" s="2"/>
      <c r="S21" s="2"/>
      <c r="T21" s="2"/>
      <c r="U21" s="2"/>
      <c r="V21" s="2"/>
      <c r="W21" s="2"/>
      <c r="X21" s="2"/>
      <c r="Y21" s="2"/>
      <c r="Z21" s="2"/>
    </row>
    <row r="22" ht="15.75" customHeight="1">
      <c r="A22" s="2" t="s">
        <v>221</v>
      </c>
      <c r="B22" s="6">
        <f>Historicals!B25</f>
        <v>3852</v>
      </c>
      <c r="C22" s="6">
        <f>Historicals!C25</f>
        <v>3138</v>
      </c>
      <c r="D22" s="6">
        <f>Historicals!D25</f>
        <v>3808</v>
      </c>
      <c r="E22" s="6">
        <f>Historicals!E25</f>
        <v>4249</v>
      </c>
      <c r="F22" s="6">
        <f>Historicals!F25</f>
        <v>4466</v>
      </c>
      <c r="G22" s="6">
        <f>Historicals!G25</f>
        <v>8348</v>
      </c>
      <c r="H22" s="6">
        <f>Historicals!H25</f>
        <v>9889</v>
      </c>
      <c r="I22" s="6">
        <f>Historicals!I25</f>
        <v>8574</v>
      </c>
      <c r="J22" s="6">
        <f t="shared" ref="J22:N22" si="15">J70</f>
        <v>8571.828173</v>
      </c>
      <c r="K22" s="6">
        <f t="shared" si="15"/>
        <v>7910.02282</v>
      </c>
      <c r="L22" s="6">
        <f t="shared" si="15"/>
        <v>7383.466393</v>
      </c>
      <c r="M22" s="6">
        <f t="shared" si="15"/>
        <v>7000.797005</v>
      </c>
      <c r="N22" s="6">
        <f t="shared" si="15"/>
        <v>6771.204472</v>
      </c>
      <c r="O22" s="103" t="s">
        <v>222</v>
      </c>
      <c r="P22" s="2"/>
      <c r="Q22" s="2"/>
      <c r="R22" s="2"/>
      <c r="S22" s="2"/>
      <c r="T22" s="2"/>
      <c r="U22" s="2"/>
      <c r="V22" s="2"/>
      <c r="W22" s="2"/>
      <c r="X22" s="2"/>
      <c r="Y22" s="2"/>
      <c r="Z22" s="2"/>
    </row>
    <row r="23" ht="15.75" customHeight="1">
      <c r="A23" s="2" t="s">
        <v>223</v>
      </c>
      <c r="B23" s="6">
        <f>Historicals!B26</f>
        <v>2072</v>
      </c>
      <c r="C23" s="6">
        <f>Historicals!C26</f>
        <v>2319</v>
      </c>
      <c r="D23" s="6">
        <f>Historicals!D26</f>
        <v>2371</v>
      </c>
      <c r="E23" s="6">
        <f>Historicals!E26</f>
        <v>996</v>
      </c>
      <c r="F23" s="6">
        <f>Historicals!F26</f>
        <v>197</v>
      </c>
      <c r="G23" s="6">
        <f>Historicals!G26</f>
        <v>439</v>
      </c>
      <c r="H23" s="6">
        <f>Historicals!H26</f>
        <v>3587</v>
      </c>
      <c r="I23" s="6">
        <f>Historicals!I26</f>
        <v>4423</v>
      </c>
      <c r="J23" s="6">
        <v>4423.0</v>
      </c>
      <c r="K23" s="6">
        <v>4423.0</v>
      </c>
      <c r="L23" s="6">
        <v>4423.0</v>
      </c>
      <c r="M23" s="6">
        <v>4423.0</v>
      </c>
      <c r="N23" s="6">
        <v>4423.0</v>
      </c>
      <c r="O23" s="103" t="s">
        <v>214</v>
      </c>
      <c r="P23" s="2"/>
      <c r="Q23" s="2"/>
      <c r="R23" s="2"/>
      <c r="S23" s="2"/>
      <c r="T23" s="2"/>
      <c r="U23" s="2"/>
      <c r="V23" s="2"/>
      <c r="W23" s="2"/>
      <c r="X23" s="2"/>
      <c r="Y23" s="2"/>
      <c r="Z23" s="2"/>
    </row>
    <row r="24" ht="15.75" customHeight="1">
      <c r="A24" s="2" t="s">
        <v>224</v>
      </c>
      <c r="B24" s="6">
        <f>Historicals!B28+Historicals!B27-Historicals!B41</f>
        <v>5564</v>
      </c>
      <c r="C24" s="6">
        <f>Historicals!C28+Historicals!C27-Historicals!C41</f>
        <v>5888</v>
      </c>
      <c r="D24" s="6">
        <f>Historicals!D28+Historicals!D27-Historicals!D41</f>
        <v>6684</v>
      </c>
      <c r="E24" s="6">
        <f>Historicals!E28+Historicals!E27-Historicals!E41</f>
        <v>6480</v>
      </c>
      <c r="F24" s="6">
        <f>Historicals!F28+Historicals!F27-Historicals!F41</f>
        <v>7282</v>
      </c>
      <c r="G24" s="6">
        <f>Historicals!G28+Historicals!G27-Historicals!G41</f>
        <v>7868</v>
      </c>
      <c r="H24" s="6">
        <f>Historicals!H28+Historicals!H27-Historicals!H41</f>
        <v>8481</v>
      </c>
      <c r="I24" s="6">
        <f>Historicals!I28+Historicals!I27-Historicals!I41</f>
        <v>9729</v>
      </c>
      <c r="J24" s="6">
        <f t="shared" ref="J24:N24" si="16">J25*J3</f>
        <v>9513.362191</v>
      </c>
      <c r="K24" s="6">
        <f t="shared" si="16"/>
        <v>10120.96407</v>
      </c>
      <c r="L24" s="6">
        <f t="shared" si="16"/>
        <v>10767.37242</v>
      </c>
      <c r="M24" s="6">
        <f t="shared" si="16"/>
        <v>11455.06574</v>
      </c>
      <c r="N24" s="6">
        <f t="shared" si="16"/>
        <v>12186.68084</v>
      </c>
      <c r="O24" s="98"/>
      <c r="P24" s="2"/>
      <c r="Q24" s="2"/>
      <c r="R24" s="2"/>
      <c r="S24" s="2"/>
      <c r="T24" s="2"/>
      <c r="U24" s="2"/>
      <c r="V24" s="2"/>
      <c r="W24" s="2"/>
      <c r="X24" s="2"/>
      <c r="Y24" s="2"/>
      <c r="Z24" s="2"/>
    </row>
    <row r="25" ht="15.75" customHeight="1">
      <c r="A25" s="99" t="s">
        <v>225</v>
      </c>
      <c r="B25" s="7">
        <f t="shared" ref="B25:I25" si="17">B24/B3</f>
        <v>0.1818241234</v>
      </c>
      <c r="C25" s="7">
        <f t="shared" si="17"/>
        <v>0.1818631085</v>
      </c>
      <c r="D25" s="7">
        <f t="shared" si="17"/>
        <v>0.1945851528</v>
      </c>
      <c r="E25" s="7">
        <f t="shared" si="17"/>
        <v>0.1780366514</v>
      </c>
      <c r="F25" s="7">
        <f t="shared" si="17"/>
        <v>0.1861594703</v>
      </c>
      <c r="G25" s="7">
        <f t="shared" si="17"/>
        <v>0.210357458</v>
      </c>
      <c r="H25" s="7">
        <f t="shared" si="17"/>
        <v>0.1904216624</v>
      </c>
      <c r="I25" s="7">
        <f t="shared" si="17"/>
        <v>0.2082851638</v>
      </c>
      <c r="J25" s="104">
        <f>AVERAGE(B25:I25)</f>
        <v>0.1914415988</v>
      </c>
      <c r="K25" s="104">
        <v>0.19144159881536918</v>
      </c>
      <c r="L25" s="104">
        <v>0.19144159881536918</v>
      </c>
      <c r="M25" s="104">
        <v>0.19144159881536918</v>
      </c>
      <c r="N25" s="104">
        <v>0.19144159881536918</v>
      </c>
      <c r="O25" s="98"/>
      <c r="P25" s="2"/>
      <c r="Q25" s="2"/>
      <c r="R25" s="2"/>
      <c r="S25" s="2"/>
      <c r="T25" s="2"/>
      <c r="U25" s="2"/>
      <c r="V25" s="2"/>
      <c r="W25" s="2"/>
      <c r="X25" s="2"/>
      <c r="Y25" s="2"/>
      <c r="Z25" s="2"/>
    </row>
    <row r="26" ht="15.75" customHeight="1">
      <c r="A26" s="2" t="s">
        <v>226</v>
      </c>
      <c r="B26" s="6">
        <f>Historicals!B29</f>
        <v>1968</v>
      </c>
      <c r="C26" s="6">
        <f>Historicals!C29</f>
        <v>1489</v>
      </c>
      <c r="D26" s="6">
        <f>Historicals!D29</f>
        <v>1150</v>
      </c>
      <c r="E26" s="6">
        <f>Historicals!E29</f>
        <v>1130</v>
      </c>
      <c r="F26" s="6">
        <f>Historicals!F29</f>
        <v>1968</v>
      </c>
      <c r="G26" s="6">
        <f>Historicals!G29</f>
        <v>1653</v>
      </c>
      <c r="H26" s="6">
        <f>Historicals!H29</f>
        <v>1498</v>
      </c>
      <c r="I26" s="6">
        <f>Historicals!I29</f>
        <v>2129</v>
      </c>
      <c r="J26" s="6">
        <v>2129.0</v>
      </c>
      <c r="K26" s="6">
        <v>2129.0</v>
      </c>
      <c r="L26" s="6">
        <v>2129.0</v>
      </c>
      <c r="M26" s="6">
        <v>2129.0</v>
      </c>
      <c r="N26" s="6">
        <v>2129.0</v>
      </c>
      <c r="O26" s="103" t="s">
        <v>214</v>
      </c>
      <c r="P26" s="2"/>
      <c r="Q26" s="2"/>
      <c r="R26" s="2"/>
      <c r="S26" s="2"/>
      <c r="T26" s="2"/>
      <c r="U26" s="2"/>
      <c r="V26" s="2"/>
      <c r="W26" s="2"/>
      <c r="X26" s="2"/>
      <c r="Y26" s="2"/>
      <c r="Z26" s="2"/>
    </row>
    <row r="27" ht="15.75" customHeight="1">
      <c r="A27" s="2" t="s">
        <v>227</v>
      </c>
      <c r="B27" s="6">
        <f>Historicals!B31</f>
        <v>3011</v>
      </c>
      <c r="C27" s="6">
        <f>Historicals!C31</f>
        <v>3520</v>
      </c>
      <c r="D27" s="6">
        <f>Historicals!D31</f>
        <v>3989</v>
      </c>
      <c r="E27" s="6">
        <f>Historicals!E31</f>
        <v>4454</v>
      </c>
      <c r="F27" s="6">
        <f>Historicals!F31</f>
        <v>4744</v>
      </c>
      <c r="G27" s="6">
        <f>Historicals!G31</f>
        <v>4886</v>
      </c>
      <c r="H27" s="6">
        <f>Historicals!H31</f>
        <v>4904</v>
      </c>
      <c r="I27" s="6">
        <f>Historicals!I31</f>
        <v>4791</v>
      </c>
      <c r="J27" s="6">
        <f t="shared" ref="J27:N27" si="18">I27-J55-J49</f>
        <v>5198.090737</v>
      </c>
      <c r="K27" s="6">
        <f t="shared" si="18"/>
        <v>5631.181651</v>
      </c>
      <c r="L27" s="6">
        <f t="shared" si="18"/>
        <v>6091.933327</v>
      </c>
      <c r="M27" s="6">
        <f t="shared" si="18"/>
        <v>6582.112411</v>
      </c>
      <c r="N27" s="6">
        <f t="shared" si="18"/>
        <v>7103.598379</v>
      </c>
      <c r="O27" s="109"/>
      <c r="P27" s="2"/>
      <c r="Q27" s="2"/>
      <c r="R27" s="2"/>
      <c r="S27" s="2"/>
      <c r="T27" s="2"/>
      <c r="U27" s="2"/>
      <c r="V27" s="2"/>
      <c r="W27" s="2"/>
      <c r="X27" s="2"/>
      <c r="Y27" s="2"/>
      <c r="Z27" s="2"/>
    </row>
    <row r="28" ht="15.75" customHeight="1">
      <c r="A28" s="2" t="s">
        <v>228</v>
      </c>
      <c r="B28" s="6">
        <f>Historicals!B33</f>
        <v>281</v>
      </c>
      <c r="C28" s="6">
        <f>Historicals!C33</f>
        <v>281</v>
      </c>
      <c r="D28" s="6">
        <f>Historicals!D33</f>
        <v>283</v>
      </c>
      <c r="E28" s="6">
        <f>Historicals!E33</f>
        <v>285</v>
      </c>
      <c r="F28" s="6">
        <f>Historicals!F33</f>
        <v>283</v>
      </c>
      <c r="G28" s="6">
        <f>Historicals!G33</f>
        <v>274</v>
      </c>
      <c r="H28" s="6">
        <f>Historicals!H33</f>
        <v>269</v>
      </c>
      <c r="I28" s="6">
        <f>Historicals!I33</f>
        <v>286</v>
      </c>
      <c r="J28" s="6">
        <v>286.0</v>
      </c>
      <c r="K28" s="6">
        <v>286.0</v>
      </c>
      <c r="L28" s="6">
        <v>286.0</v>
      </c>
      <c r="M28" s="6">
        <v>286.0</v>
      </c>
      <c r="N28" s="6">
        <v>286.0</v>
      </c>
      <c r="O28" s="103" t="s">
        <v>214</v>
      </c>
      <c r="P28" s="2"/>
      <c r="Q28" s="2"/>
      <c r="R28" s="2"/>
      <c r="S28" s="2"/>
      <c r="T28" s="2"/>
      <c r="U28" s="2"/>
      <c r="V28" s="2"/>
      <c r="W28" s="2"/>
      <c r="X28" s="2"/>
      <c r="Y28" s="2"/>
      <c r="Z28" s="2"/>
    </row>
    <row r="29" ht="15.75" customHeight="1">
      <c r="A29" s="2" t="s">
        <v>67</v>
      </c>
      <c r="B29" s="6">
        <f>Historicals!B34</f>
        <v>131</v>
      </c>
      <c r="C29" s="6">
        <f>Historicals!C34</f>
        <v>131</v>
      </c>
      <c r="D29" s="6">
        <f>Historicals!D34</f>
        <v>139</v>
      </c>
      <c r="E29" s="6">
        <f>Historicals!E34</f>
        <v>154</v>
      </c>
      <c r="F29" s="6">
        <f>Historicals!F34</f>
        <v>154</v>
      </c>
      <c r="G29" s="6">
        <f>Historicals!G34</f>
        <v>223</v>
      </c>
      <c r="H29" s="6">
        <f>Historicals!H34</f>
        <v>242</v>
      </c>
      <c r="I29" s="6">
        <f>Historicals!I34</f>
        <v>284</v>
      </c>
      <c r="J29" s="6">
        <v>284.0</v>
      </c>
      <c r="K29" s="6">
        <v>284.0</v>
      </c>
      <c r="L29" s="6">
        <v>284.0</v>
      </c>
      <c r="M29" s="6">
        <v>284.0</v>
      </c>
      <c r="N29" s="6">
        <v>284.0</v>
      </c>
      <c r="O29" s="103" t="s">
        <v>214</v>
      </c>
      <c r="P29" s="2"/>
      <c r="Q29" s="2"/>
      <c r="R29" s="2"/>
      <c r="S29" s="2"/>
      <c r="T29" s="2"/>
      <c r="U29" s="2"/>
      <c r="V29" s="2"/>
      <c r="W29" s="2"/>
      <c r="X29" s="2"/>
      <c r="Y29" s="2"/>
      <c r="Z29" s="2"/>
    </row>
    <row r="30" ht="15.75" customHeight="1">
      <c r="A30" s="2" t="s">
        <v>65</v>
      </c>
      <c r="B30" s="6" t="str">
        <f>Historicals!B32</f>
        <v/>
      </c>
      <c r="C30" s="6" t="str">
        <f>Historicals!C32</f>
        <v/>
      </c>
      <c r="D30" s="6" t="str">
        <f>Historicals!D32</f>
        <v/>
      </c>
      <c r="E30" s="6" t="str">
        <f>Historicals!E32</f>
        <v/>
      </c>
      <c r="F30" s="6" t="str">
        <f>Historicals!F32</f>
        <v/>
      </c>
      <c r="G30" s="6">
        <f>Historicals!G32</f>
        <v>3097</v>
      </c>
      <c r="H30" s="6">
        <f>Historicals!H32</f>
        <v>3113</v>
      </c>
      <c r="I30" s="6">
        <f>Historicals!I32</f>
        <v>2926</v>
      </c>
      <c r="J30" s="6">
        <v>2926.0</v>
      </c>
      <c r="K30" s="6">
        <v>2926.0</v>
      </c>
      <c r="L30" s="6">
        <v>2926.0</v>
      </c>
      <c r="M30" s="6">
        <v>2926.0</v>
      </c>
      <c r="N30" s="6">
        <v>2926.0</v>
      </c>
      <c r="O30" s="103" t="s">
        <v>214</v>
      </c>
      <c r="P30" s="2"/>
      <c r="Q30" s="2"/>
      <c r="R30" s="2"/>
      <c r="S30" s="2"/>
      <c r="T30" s="2"/>
      <c r="U30" s="2"/>
      <c r="V30" s="2"/>
      <c r="W30" s="2"/>
      <c r="X30" s="2"/>
      <c r="Y30" s="2"/>
      <c r="Z30" s="2"/>
    </row>
    <row r="31" ht="15.75" customHeight="1">
      <c r="A31" s="2" t="s">
        <v>229</v>
      </c>
      <c r="B31" s="6">
        <f>Historicals!B35</f>
        <v>2587</v>
      </c>
      <c r="C31" s="6">
        <f>Historicals!C35</f>
        <v>2439</v>
      </c>
      <c r="D31" s="6">
        <f>Historicals!D35</f>
        <v>2787</v>
      </c>
      <c r="E31" s="6">
        <f>Historicals!E35</f>
        <v>2509</v>
      </c>
      <c r="F31" s="6">
        <f>Historicals!F35</f>
        <v>2011</v>
      </c>
      <c r="G31" s="6">
        <f>Historicals!G35</f>
        <v>2326</v>
      </c>
      <c r="H31" s="6">
        <f>Historicals!H35</f>
        <v>2921</v>
      </c>
      <c r="I31" s="6">
        <f>Historicals!I35</f>
        <v>3821</v>
      </c>
      <c r="J31" s="6">
        <v>3821.0</v>
      </c>
      <c r="K31" s="6">
        <v>3821.0</v>
      </c>
      <c r="L31" s="6">
        <v>3821.0</v>
      </c>
      <c r="M31" s="6">
        <v>3821.0</v>
      </c>
      <c r="N31" s="6">
        <v>3821.0</v>
      </c>
      <c r="O31" s="103" t="s">
        <v>214</v>
      </c>
      <c r="P31" s="2"/>
      <c r="Q31" s="2"/>
      <c r="R31" s="2"/>
      <c r="S31" s="2"/>
      <c r="T31" s="2"/>
      <c r="U31" s="2"/>
      <c r="V31" s="2"/>
      <c r="W31" s="2"/>
      <c r="X31" s="2"/>
      <c r="Y31" s="2"/>
      <c r="Z31" s="2"/>
    </row>
    <row r="32" ht="15.75" customHeight="1">
      <c r="A32" s="105" t="s">
        <v>230</v>
      </c>
      <c r="B32" s="110">
        <f t="shared" ref="B32:I32" si="19">SUM(B22:B31)</f>
        <v>19466.18182</v>
      </c>
      <c r="C32" s="110">
        <f t="shared" si="19"/>
        <v>19205.18186</v>
      </c>
      <c r="D32" s="110">
        <f t="shared" si="19"/>
        <v>21211.19459</v>
      </c>
      <c r="E32" s="110">
        <f t="shared" si="19"/>
        <v>20257.17804</v>
      </c>
      <c r="F32" s="110">
        <f t="shared" si="19"/>
        <v>21105.18616</v>
      </c>
      <c r="G32" s="110">
        <f t="shared" si="19"/>
        <v>29114.21036</v>
      </c>
      <c r="H32" s="110">
        <f t="shared" si="19"/>
        <v>34904.19042</v>
      </c>
      <c r="I32" s="110">
        <f t="shared" si="19"/>
        <v>36963.20829</v>
      </c>
      <c r="J32" s="110">
        <f t="shared" ref="J32:N32" si="20">I32-J55-J49</f>
        <v>37370.29902</v>
      </c>
      <c r="K32" s="110">
        <f t="shared" si="20"/>
        <v>37803.38994</v>
      </c>
      <c r="L32" s="110">
        <f t="shared" si="20"/>
        <v>38264.14161</v>
      </c>
      <c r="M32" s="110">
        <f t="shared" si="20"/>
        <v>38754.3207</v>
      </c>
      <c r="N32" s="110">
        <f t="shared" si="20"/>
        <v>39275.80666</v>
      </c>
      <c r="O32" s="111" t="s">
        <v>231</v>
      </c>
      <c r="P32" s="3"/>
      <c r="Q32" s="3"/>
      <c r="R32" s="3"/>
      <c r="S32" s="3"/>
      <c r="T32" s="3"/>
      <c r="U32" s="3"/>
      <c r="V32" s="3"/>
      <c r="W32" s="3"/>
      <c r="X32" s="3"/>
      <c r="Y32" s="3"/>
      <c r="Z32" s="3"/>
    </row>
    <row r="33" ht="15.75" customHeight="1">
      <c r="A33" s="2" t="s">
        <v>232</v>
      </c>
      <c r="B33" s="6"/>
      <c r="C33" s="6"/>
      <c r="D33" s="6"/>
      <c r="E33" s="6"/>
      <c r="F33" s="6"/>
      <c r="G33" s="6"/>
      <c r="H33" s="6"/>
      <c r="I33" s="6"/>
      <c r="J33" s="6"/>
      <c r="K33" s="6"/>
      <c r="L33" s="6"/>
      <c r="M33" s="6"/>
      <c r="N33" s="6"/>
      <c r="O33" s="98"/>
      <c r="P33" s="2"/>
      <c r="Q33" s="2"/>
      <c r="R33" s="2"/>
      <c r="S33" s="2"/>
      <c r="T33" s="2"/>
      <c r="U33" s="2"/>
      <c r="V33" s="2"/>
      <c r="W33" s="2"/>
      <c r="X33" s="2"/>
      <c r="Y33" s="2"/>
      <c r="Z33" s="2"/>
    </row>
    <row r="34" ht="15.75" customHeight="1">
      <c r="A34" s="2" t="s">
        <v>72</v>
      </c>
      <c r="B34" s="6">
        <f>Historicals!B39</f>
        <v>107</v>
      </c>
      <c r="C34" s="6">
        <f>Historicals!C39</f>
        <v>44</v>
      </c>
      <c r="D34" s="6">
        <f>Historicals!D39</f>
        <v>6</v>
      </c>
      <c r="E34" s="6">
        <f>Historicals!E39</f>
        <v>6</v>
      </c>
      <c r="F34" s="6">
        <f>Historicals!F39</f>
        <v>6</v>
      </c>
      <c r="G34" s="6">
        <f>Historicals!G39</f>
        <v>3</v>
      </c>
      <c r="H34" s="6">
        <f>Historicals!H39</f>
        <v>0</v>
      </c>
      <c r="I34" s="6">
        <f>Historicals!I39</f>
        <v>500</v>
      </c>
      <c r="J34" s="112">
        <v>500.0</v>
      </c>
      <c r="K34" s="112">
        <v>500.0</v>
      </c>
      <c r="L34" s="112">
        <v>500.0</v>
      </c>
      <c r="M34" s="112">
        <v>500.0</v>
      </c>
      <c r="N34" s="112">
        <v>500.0</v>
      </c>
      <c r="O34" s="103" t="s">
        <v>214</v>
      </c>
      <c r="P34" s="2"/>
      <c r="Q34" s="2"/>
      <c r="R34" s="2"/>
      <c r="S34" s="2"/>
      <c r="T34" s="2"/>
      <c r="U34" s="2"/>
      <c r="V34" s="2"/>
      <c r="W34" s="2"/>
      <c r="X34" s="2"/>
      <c r="Y34" s="2"/>
      <c r="Z34" s="2"/>
    </row>
    <row r="35" ht="15.75" customHeight="1">
      <c r="A35" s="2" t="s">
        <v>73</v>
      </c>
      <c r="B35" s="6">
        <f>Historicals!B40</f>
        <v>74</v>
      </c>
      <c r="C35" s="6">
        <f>Historicals!C40</f>
        <v>1</v>
      </c>
      <c r="D35" s="6">
        <f>Historicals!D40</f>
        <v>325</v>
      </c>
      <c r="E35" s="6">
        <f>Historicals!E40</f>
        <v>336</v>
      </c>
      <c r="F35" s="6">
        <f>Historicals!F40</f>
        <v>9</v>
      </c>
      <c r="G35" s="6">
        <f>Historicals!G40</f>
        <v>248</v>
      </c>
      <c r="H35" s="6">
        <f>Historicals!H40</f>
        <v>2</v>
      </c>
      <c r="I35" s="6">
        <f>Historicals!I40</f>
        <v>10</v>
      </c>
      <c r="J35" s="6">
        <v>10.0</v>
      </c>
      <c r="K35" s="6">
        <v>10.0</v>
      </c>
      <c r="L35" s="6">
        <v>10.0</v>
      </c>
      <c r="M35" s="6">
        <v>10.0</v>
      </c>
      <c r="N35" s="6">
        <v>10.0</v>
      </c>
      <c r="O35" s="103" t="s">
        <v>214</v>
      </c>
      <c r="P35" s="2"/>
      <c r="Q35" s="2"/>
      <c r="R35" s="2"/>
      <c r="S35" s="2"/>
      <c r="T35" s="2"/>
      <c r="U35" s="2"/>
      <c r="V35" s="2"/>
      <c r="W35" s="2"/>
      <c r="X35" s="2"/>
      <c r="Y35" s="2"/>
      <c r="Z35" s="2"/>
    </row>
    <row r="36" ht="15.75" customHeight="1">
      <c r="A36" s="2" t="s">
        <v>233</v>
      </c>
      <c r="B36" s="6">
        <f>SUM(Historicals!B42:B44)</f>
        <v>4020</v>
      </c>
      <c r="C36" s="6">
        <f>SUM(Historicals!C42:C44)</f>
        <v>3122</v>
      </c>
      <c r="D36" s="6">
        <f>SUM(Historicals!D42:D44)</f>
        <v>3095</v>
      </c>
      <c r="E36" s="6">
        <f>SUM(Historicals!E42:E44)</f>
        <v>3419</v>
      </c>
      <c r="F36" s="6">
        <f>SUM(Historicals!F42:F44)</f>
        <v>5239</v>
      </c>
      <c r="G36" s="6">
        <f>SUM(Historicals!G42:G44)</f>
        <v>5785</v>
      </c>
      <c r="H36" s="6">
        <f>SUM(Historicals!H42:H44)</f>
        <v>6836</v>
      </c>
      <c r="I36" s="6">
        <f>SUM(Historicals!I42:I44)</f>
        <v>6862</v>
      </c>
      <c r="J36" s="6">
        <v>6862.0</v>
      </c>
      <c r="K36" s="6">
        <v>6862.0</v>
      </c>
      <c r="L36" s="6">
        <v>6862.0</v>
      </c>
      <c r="M36" s="6">
        <v>6862.0</v>
      </c>
      <c r="N36" s="6">
        <v>6862.0</v>
      </c>
      <c r="O36" s="103" t="s">
        <v>214</v>
      </c>
      <c r="P36" s="2"/>
      <c r="Q36" s="2"/>
      <c r="R36" s="2"/>
      <c r="S36" s="2"/>
      <c r="T36" s="2"/>
      <c r="U36" s="2"/>
      <c r="V36" s="2"/>
      <c r="W36" s="2"/>
      <c r="X36" s="2"/>
      <c r="Y36" s="2"/>
      <c r="Z36" s="2"/>
    </row>
    <row r="37" ht="15.75" customHeight="1">
      <c r="A37" s="113" t="s">
        <v>138</v>
      </c>
      <c r="B37" s="114"/>
      <c r="C37" s="114">
        <f t="shared" ref="C37:I37" si="21">+IFERROR(C36/B36-1,"nm")</f>
        <v>-0.2233830846</v>
      </c>
      <c r="D37" s="114">
        <f t="shared" si="21"/>
        <v>-0.00864830237</v>
      </c>
      <c r="E37" s="114">
        <f t="shared" si="21"/>
        <v>0.1046849758</v>
      </c>
      <c r="F37" s="114">
        <f t="shared" si="21"/>
        <v>0.5323193916</v>
      </c>
      <c r="G37" s="114">
        <f t="shared" si="21"/>
        <v>0.1042183623</v>
      </c>
      <c r="H37" s="114">
        <f t="shared" si="21"/>
        <v>0.1816767502</v>
      </c>
      <c r="I37" s="114">
        <f t="shared" si="21"/>
        <v>0.003803393798</v>
      </c>
      <c r="J37" s="114"/>
      <c r="K37" s="114"/>
      <c r="L37" s="114"/>
      <c r="M37" s="114"/>
      <c r="N37" s="114"/>
      <c r="O37" s="113"/>
      <c r="P37" s="114"/>
      <c r="Q37" s="114"/>
      <c r="R37" s="114"/>
      <c r="S37" s="114"/>
      <c r="T37" s="114"/>
      <c r="U37" s="114"/>
      <c r="V37" s="114"/>
      <c r="W37" s="114"/>
      <c r="X37" s="114"/>
      <c r="Y37" s="114"/>
      <c r="Z37" s="114"/>
    </row>
    <row r="38" ht="15.75" customHeight="1">
      <c r="A38" s="2" t="s">
        <v>79</v>
      </c>
      <c r="B38" s="6">
        <f>Historicals!B46</f>
        <v>1079</v>
      </c>
      <c r="C38" s="6">
        <f>Historicals!C46</f>
        <v>2010</v>
      </c>
      <c r="D38" s="6">
        <f>Historicals!D46</f>
        <v>3471</v>
      </c>
      <c r="E38" s="6">
        <f>Historicals!E46</f>
        <v>3468</v>
      </c>
      <c r="F38" s="6">
        <f>Historicals!F46</f>
        <v>3464</v>
      </c>
      <c r="G38" s="6">
        <f>Historicals!G46</f>
        <v>9406</v>
      </c>
      <c r="H38" s="6">
        <f>Historicals!H46</f>
        <v>9413</v>
      </c>
      <c r="I38" s="6">
        <f>Historicals!I46</f>
        <v>8920</v>
      </c>
      <c r="J38" s="6">
        <v>8920.0</v>
      </c>
      <c r="K38" s="6">
        <v>8920.0</v>
      </c>
      <c r="L38" s="6">
        <v>8920.0</v>
      </c>
      <c r="M38" s="6">
        <v>8920.0</v>
      </c>
      <c r="N38" s="6">
        <v>8920.0</v>
      </c>
      <c r="O38" s="103" t="s">
        <v>214</v>
      </c>
      <c r="P38" s="2"/>
      <c r="Q38" s="2"/>
      <c r="R38" s="2"/>
      <c r="S38" s="2"/>
      <c r="T38" s="2"/>
      <c r="U38" s="2"/>
      <c r="V38" s="2"/>
      <c r="W38" s="2"/>
      <c r="X38" s="2"/>
      <c r="Y38" s="2"/>
      <c r="Z38" s="2"/>
    </row>
    <row r="39" ht="15.75" customHeight="1">
      <c r="A39" s="2" t="s">
        <v>80</v>
      </c>
      <c r="B39" s="6">
        <f>Historicals!B47</f>
        <v>1479</v>
      </c>
      <c r="C39" s="6">
        <f>Historicals!C47</f>
        <v>1770</v>
      </c>
      <c r="D39" s="6">
        <f>Historicals!D47</f>
        <v>1907</v>
      </c>
      <c r="E39" s="6">
        <f>Historicals!E47</f>
        <v>3216</v>
      </c>
      <c r="F39" s="6" t="str">
        <f>Historicals!F47</f>
        <v/>
      </c>
      <c r="G39" s="6">
        <f>Historicals!G47</f>
        <v>2913</v>
      </c>
      <c r="H39" s="6">
        <f>Historicals!H47</f>
        <v>2931</v>
      </c>
      <c r="I39" s="6">
        <f>Historicals!I47</f>
        <v>2777</v>
      </c>
      <c r="J39" s="6">
        <v>2777.0</v>
      </c>
      <c r="K39" s="6">
        <v>2777.0</v>
      </c>
      <c r="L39" s="6">
        <v>2777.0</v>
      </c>
      <c r="M39" s="6">
        <v>2777.0</v>
      </c>
      <c r="N39" s="6">
        <v>2777.0</v>
      </c>
      <c r="O39" s="103" t="s">
        <v>214</v>
      </c>
      <c r="P39" s="2"/>
      <c r="Q39" s="2"/>
      <c r="R39" s="2"/>
      <c r="S39" s="2"/>
      <c r="T39" s="2"/>
      <c r="U39" s="2"/>
      <c r="V39" s="2"/>
      <c r="W39" s="2"/>
      <c r="X39" s="2"/>
      <c r="Y39" s="2"/>
      <c r="Z39" s="2"/>
    </row>
    <row r="40" ht="15.75" customHeight="1">
      <c r="A40" s="2" t="s">
        <v>234</v>
      </c>
      <c r="B40" s="6">
        <f>SUM(Historicals!B48:B49)</f>
        <v>0</v>
      </c>
      <c r="C40" s="6">
        <f>SUM(Historicals!C48:C49)</f>
        <v>0</v>
      </c>
      <c r="D40" s="6">
        <f>SUM(Historicals!D48:D49)</f>
        <v>0</v>
      </c>
      <c r="E40" s="6">
        <f>SUM(Historicals!E48:E49)</f>
        <v>0</v>
      </c>
      <c r="F40" s="6">
        <f>SUM(Historicals!F48:F49)</f>
        <v>3347</v>
      </c>
      <c r="G40" s="6">
        <f>SUM(Historicals!G48:G49)</f>
        <v>2684</v>
      </c>
      <c r="H40" s="6">
        <f>SUM(Historicals!H48:H49)</f>
        <v>2955</v>
      </c>
      <c r="I40" s="6">
        <f>SUM(Historicals!I48:I49)</f>
        <v>2613</v>
      </c>
      <c r="J40" s="6">
        <v>2613.0</v>
      </c>
      <c r="K40" s="6">
        <v>2613.0</v>
      </c>
      <c r="L40" s="6">
        <v>2613.0</v>
      </c>
      <c r="M40" s="6">
        <v>2613.0</v>
      </c>
      <c r="N40" s="6">
        <v>2613.0</v>
      </c>
      <c r="O40" s="103" t="s">
        <v>214</v>
      </c>
      <c r="P40" s="2"/>
      <c r="Q40" s="2"/>
      <c r="R40" s="2"/>
      <c r="S40" s="2"/>
      <c r="T40" s="2"/>
      <c r="U40" s="2"/>
      <c r="V40" s="2"/>
      <c r="W40" s="2"/>
      <c r="X40" s="2"/>
      <c r="Y40" s="2"/>
      <c r="Z40" s="2"/>
    </row>
    <row r="41" ht="15.75" customHeight="1">
      <c r="A41" s="2" t="s">
        <v>235</v>
      </c>
      <c r="B41" s="6">
        <f t="shared" ref="B41:N41" si="22">SUM(B42:B44)</f>
        <v>12707</v>
      </c>
      <c r="C41" s="6">
        <f t="shared" si="22"/>
        <v>12258</v>
      </c>
      <c r="D41" s="6">
        <f t="shared" si="22"/>
        <v>12407</v>
      </c>
      <c r="E41" s="6">
        <f t="shared" si="22"/>
        <v>9812</v>
      </c>
      <c r="F41" s="6">
        <f t="shared" si="22"/>
        <v>9040</v>
      </c>
      <c r="G41" s="6">
        <f t="shared" si="22"/>
        <v>8055</v>
      </c>
      <c r="H41" s="6">
        <f t="shared" si="22"/>
        <v>12767</v>
      </c>
      <c r="I41" s="6">
        <f t="shared" si="22"/>
        <v>15281</v>
      </c>
      <c r="J41" s="6">
        <f t="shared" si="22"/>
        <v>15329.53089</v>
      </c>
      <c r="K41" s="6">
        <f t="shared" si="22"/>
        <v>15567.66812</v>
      </c>
      <c r="L41" s="6">
        <f t="shared" si="22"/>
        <v>16007.52151</v>
      </c>
      <c r="M41" s="6">
        <f t="shared" si="22"/>
        <v>16661.97433</v>
      </c>
      <c r="N41" s="6">
        <f t="shared" si="22"/>
        <v>17544.73265</v>
      </c>
      <c r="O41" s="98"/>
      <c r="P41" s="2"/>
      <c r="Q41" s="2"/>
      <c r="R41" s="2"/>
      <c r="S41" s="2"/>
      <c r="T41" s="2"/>
      <c r="U41" s="2"/>
      <c r="V41" s="2"/>
      <c r="W41" s="2"/>
      <c r="X41" s="2"/>
      <c r="Y41" s="2"/>
      <c r="Z41" s="2"/>
    </row>
    <row r="42" ht="15.75" customHeight="1">
      <c r="A42" s="2" t="s">
        <v>236</v>
      </c>
      <c r="B42" s="6">
        <f>SUM(Historicals!B53:B54)</f>
        <v>3</v>
      </c>
      <c r="C42" s="6">
        <f>SUM(Historicals!C53:C54)</f>
        <v>3</v>
      </c>
      <c r="D42" s="6">
        <f>SUM(Historicals!D53:D54)</f>
        <v>3</v>
      </c>
      <c r="E42" s="6">
        <f>SUM(Historicals!E53:E54)</f>
        <v>3</v>
      </c>
      <c r="F42" s="6">
        <f>SUM(Historicals!F53:F54)</f>
        <v>3</v>
      </c>
      <c r="G42" s="6">
        <f>SUM(Historicals!G53:G54)</f>
        <v>3</v>
      </c>
      <c r="H42" s="6">
        <f>SUM(Historicals!H53:H54)</f>
        <v>3</v>
      </c>
      <c r="I42" s="6">
        <f>SUM(Historicals!I53:I54)</f>
        <v>3</v>
      </c>
      <c r="J42" s="115">
        <v>3.0</v>
      </c>
      <c r="K42" s="115">
        <v>3.0</v>
      </c>
      <c r="L42" s="115">
        <v>3.0</v>
      </c>
      <c r="M42" s="115">
        <v>3.0</v>
      </c>
      <c r="N42" s="115">
        <v>3.0</v>
      </c>
      <c r="O42" s="103" t="s">
        <v>214</v>
      </c>
      <c r="P42" s="2"/>
      <c r="Q42" s="2"/>
      <c r="R42" s="2"/>
      <c r="S42" s="2"/>
      <c r="T42" s="2"/>
      <c r="U42" s="2"/>
      <c r="V42" s="2"/>
      <c r="W42" s="2"/>
      <c r="X42" s="2"/>
      <c r="Y42" s="2"/>
      <c r="Z42" s="2"/>
    </row>
    <row r="43" ht="15.75" customHeight="1">
      <c r="A43" s="2" t="s">
        <v>237</v>
      </c>
      <c r="B43" s="6">
        <f>Historicals!B57</f>
        <v>4685</v>
      </c>
      <c r="C43" s="6">
        <f>Historicals!C57</f>
        <v>4151</v>
      </c>
      <c r="D43" s="6">
        <f>Historicals!D57</f>
        <v>6907</v>
      </c>
      <c r="E43" s="6">
        <f>Historicals!E57</f>
        <v>3517</v>
      </c>
      <c r="F43" s="6">
        <f>Historicals!F57</f>
        <v>1643</v>
      </c>
      <c r="G43" s="6">
        <f>Historicals!G57</f>
        <v>-191</v>
      </c>
      <c r="H43" s="6">
        <f>Historicals!H57</f>
        <v>3179</v>
      </c>
      <c r="I43" s="6">
        <f>Historicals!I57</f>
        <v>3476</v>
      </c>
      <c r="J43" s="6">
        <f t="shared" ref="J43:N43" si="23">I43+J15+J62+J63</f>
        <v>3524.530893</v>
      </c>
      <c r="K43" s="6">
        <f t="shared" si="23"/>
        <v>3762.668122</v>
      </c>
      <c r="L43" s="6">
        <f t="shared" si="23"/>
        <v>4202.521513</v>
      </c>
      <c r="M43" s="6">
        <f t="shared" si="23"/>
        <v>4856.974326</v>
      </c>
      <c r="N43" s="6">
        <f t="shared" si="23"/>
        <v>5739.732653</v>
      </c>
      <c r="O43" s="98"/>
      <c r="P43" s="2"/>
      <c r="Q43" s="2"/>
      <c r="R43" s="2"/>
      <c r="S43" s="2"/>
      <c r="T43" s="2"/>
      <c r="U43" s="2"/>
      <c r="V43" s="2"/>
      <c r="W43" s="2"/>
      <c r="X43" s="2"/>
      <c r="Y43" s="2"/>
      <c r="Z43" s="2"/>
    </row>
    <row r="44" ht="15.75" customHeight="1">
      <c r="A44" s="2" t="s">
        <v>238</v>
      </c>
      <c r="B44" s="6">
        <f>SUM(Historicals!B55:B56)</f>
        <v>8019</v>
      </c>
      <c r="C44" s="6">
        <f>SUM(Historicals!C55:C56)</f>
        <v>8104</v>
      </c>
      <c r="D44" s="6">
        <f>SUM(Historicals!D55:D56)</f>
        <v>5497</v>
      </c>
      <c r="E44" s="6">
        <f>SUM(Historicals!E55:E56)</f>
        <v>6292</v>
      </c>
      <c r="F44" s="6">
        <f>SUM(Historicals!F55:F56)</f>
        <v>7394</v>
      </c>
      <c r="G44" s="6">
        <f>SUM(Historicals!G55:G56)</f>
        <v>8243</v>
      </c>
      <c r="H44" s="6">
        <f>SUM(Historicals!H55:H56)</f>
        <v>9585</v>
      </c>
      <c r="I44" s="6">
        <f>SUM(Historicals!I55:I56)</f>
        <v>11802</v>
      </c>
      <c r="J44" s="6">
        <v>11802.0</v>
      </c>
      <c r="K44" s="6">
        <v>11802.0</v>
      </c>
      <c r="L44" s="6">
        <v>11802.0</v>
      </c>
      <c r="M44" s="6">
        <v>11802.0</v>
      </c>
      <c r="N44" s="6">
        <v>11802.0</v>
      </c>
      <c r="O44" s="98"/>
      <c r="P44" s="2"/>
      <c r="Q44" s="2"/>
      <c r="R44" s="2"/>
      <c r="S44" s="2"/>
      <c r="T44" s="2"/>
      <c r="U44" s="2"/>
      <c r="V44" s="2"/>
      <c r="W44" s="2"/>
      <c r="X44" s="2"/>
      <c r="Y44" s="2"/>
      <c r="Z44" s="2"/>
    </row>
    <row r="45" ht="15.75" customHeight="1">
      <c r="A45" s="105" t="s">
        <v>239</v>
      </c>
      <c r="B45" s="110">
        <f t="shared" ref="B45:I45" si="24">sum(B33:B41)</f>
        <v>19466</v>
      </c>
      <c r="C45" s="110">
        <f t="shared" si="24"/>
        <v>19204.77662</v>
      </c>
      <c r="D45" s="110">
        <f t="shared" si="24"/>
        <v>21210.99135</v>
      </c>
      <c r="E45" s="110">
        <f t="shared" si="24"/>
        <v>20257.10468</v>
      </c>
      <c r="F45" s="110">
        <f t="shared" si="24"/>
        <v>21105.53232</v>
      </c>
      <c r="G45" s="110">
        <f t="shared" si="24"/>
        <v>29094.10422</v>
      </c>
      <c r="H45" s="110">
        <f t="shared" si="24"/>
        <v>34904.18168</v>
      </c>
      <c r="I45" s="110">
        <f t="shared" si="24"/>
        <v>36963.0038</v>
      </c>
      <c r="J45" s="110">
        <f t="shared" ref="J45:N45" si="25">I45-J55-J49</f>
        <v>37370.09454</v>
      </c>
      <c r="K45" s="110">
        <f t="shared" si="25"/>
        <v>37803.18545</v>
      </c>
      <c r="L45" s="110">
        <f t="shared" si="25"/>
        <v>38263.93713</v>
      </c>
      <c r="M45" s="110">
        <f t="shared" si="25"/>
        <v>38754.11621</v>
      </c>
      <c r="N45" s="110">
        <f t="shared" si="25"/>
        <v>39275.60218</v>
      </c>
      <c r="O45" s="116"/>
      <c r="P45" s="3"/>
      <c r="Q45" s="3"/>
      <c r="R45" s="3"/>
      <c r="S45" s="3"/>
      <c r="T45" s="3"/>
      <c r="U45" s="3"/>
      <c r="V45" s="3"/>
      <c r="W45" s="3"/>
      <c r="X45" s="3"/>
      <c r="Y45" s="3"/>
      <c r="Z45" s="3"/>
    </row>
    <row r="46" ht="15.75" customHeight="1">
      <c r="A46" s="117" t="s">
        <v>240</v>
      </c>
      <c r="B46" s="107"/>
      <c r="C46" s="107"/>
      <c r="D46" s="107"/>
      <c r="E46" s="107"/>
      <c r="F46" s="107"/>
      <c r="G46" s="107"/>
      <c r="H46" s="107"/>
      <c r="I46" s="107"/>
      <c r="J46" s="107"/>
      <c r="K46" s="107"/>
      <c r="L46" s="107"/>
      <c r="M46" s="107"/>
      <c r="N46" s="107"/>
      <c r="O46" s="98"/>
      <c r="P46" s="2"/>
      <c r="Q46" s="2"/>
      <c r="R46" s="2"/>
      <c r="S46" s="2"/>
      <c r="T46" s="2"/>
      <c r="U46" s="2"/>
      <c r="V46" s="2"/>
      <c r="W46" s="2"/>
      <c r="X46" s="2"/>
      <c r="Y46" s="2"/>
      <c r="Z46" s="2"/>
    </row>
    <row r="47" ht="15.75" customHeight="1">
      <c r="A47" s="108" t="s">
        <v>241</v>
      </c>
      <c r="B47" s="96"/>
      <c r="C47" s="96"/>
      <c r="D47" s="96"/>
      <c r="E47" s="96"/>
      <c r="F47" s="96"/>
      <c r="G47" s="96"/>
      <c r="H47" s="96"/>
      <c r="I47" s="96"/>
      <c r="J47" s="97"/>
      <c r="K47" s="97"/>
      <c r="L47" s="97"/>
      <c r="M47" s="97"/>
      <c r="N47" s="97"/>
      <c r="O47" s="98"/>
      <c r="P47" s="2"/>
      <c r="Q47" s="2"/>
      <c r="R47" s="2"/>
      <c r="S47" s="2"/>
      <c r="T47" s="2"/>
      <c r="U47" s="2"/>
      <c r="V47" s="2"/>
      <c r="W47" s="2"/>
      <c r="X47" s="2"/>
      <c r="Y47" s="2"/>
      <c r="Z47" s="2"/>
    </row>
    <row r="48" ht="15.75" customHeight="1">
      <c r="A48" s="3" t="s">
        <v>181</v>
      </c>
      <c r="B48" s="118">
        <f>'Segmental forecast'!B12</f>
        <v>4233</v>
      </c>
      <c r="C48" s="118">
        <f>'Segmental forecast'!C12</f>
        <v>4642</v>
      </c>
      <c r="D48" s="118">
        <f>'Segmental forecast'!D12</f>
        <v>4945</v>
      </c>
      <c r="E48" s="118">
        <f>'Segmental forecast'!E12</f>
        <v>4379</v>
      </c>
      <c r="F48" s="118">
        <f>'Segmental forecast'!F12</f>
        <v>4850</v>
      </c>
      <c r="G48" s="118">
        <f>'Segmental forecast'!G12</f>
        <v>2976</v>
      </c>
      <c r="H48" s="118">
        <f>'Segmental forecast'!H12</f>
        <v>6923</v>
      </c>
      <c r="I48" s="118">
        <f>'Segmental forecast'!I12</f>
        <v>6856</v>
      </c>
      <c r="J48" s="118">
        <f t="shared" ref="J48:N48" si="26">J7</f>
        <v>6528.890085</v>
      </c>
      <c r="K48" s="118">
        <f t="shared" si="26"/>
        <v>6945.878925</v>
      </c>
      <c r="L48" s="118">
        <f t="shared" si="26"/>
        <v>7389.500116</v>
      </c>
      <c r="M48" s="118">
        <f t="shared" si="26"/>
        <v>7861.45462</v>
      </c>
      <c r="N48" s="118">
        <f t="shared" si="26"/>
        <v>8363.552037</v>
      </c>
      <c r="O48" s="119" t="s">
        <v>242</v>
      </c>
      <c r="P48" s="3"/>
      <c r="Q48" s="3"/>
      <c r="R48" s="3"/>
      <c r="S48" s="3"/>
      <c r="T48" s="3"/>
      <c r="U48" s="3"/>
      <c r="V48" s="3"/>
      <c r="W48" s="3"/>
      <c r="X48" s="3"/>
      <c r="Y48" s="3"/>
      <c r="Z48" s="3"/>
    </row>
    <row r="49" ht="15.75" customHeight="1">
      <c r="A49" s="2" t="s">
        <v>177</v>
      </c>
      <c r="B49" s="6">
        <f>'Segmental forecast'!B8</f>
        <v>606</v>
      </c>
      <c r="C49" s="6">
        <f>'Segmental forecast'!C8</f>
        <v>649</v>
      </c>
      <c r="D49" s="6">
        <f>'Segmental forecast'!D8</f>
        <v>706</v>
      </c>
      <c r="E49" s="6">
        <f>'Segmental forecast'!E8</f>
        <v>747</v>
      </c>
      <c r="F49" s="6">
        <f>'Segmental forecast'!F8</f>
        <v>705</v>
      </c>
      <c r="G49" s="6">
        <f>'Segmental forecast'!G8</f>
        <v>721</v>
      </c>
      <c r="H49" s="6">
        <f>'Segmental forecast'!H8</f>
        <v>744</v>
      </c>
      <c r="I49" s="6">
        <f>'Segmental forecast'!I8</f>
        <v>717</v>
      </c>
      <c r="J49" s="6">
        <f t="shared" ref="J49:N49" si="27">J6</f>
        <v>937.1911121</v>
      </c>
      <c r="K49" s="6">
        <f t="shared" si="27"/>
        <v>997.0478764</v>
      </c>
      <c r="L49" s="6">
        <f t="shared" si="27"/>
        <v>1060.727588</v>
      </c>
      <c r="M49" s="6">
        <f t="shared" si="27"/>
        <v>1128.474412</v>
      </c>
      <c r="N49" s="6">
        <f t="shared" si="27"/>
        <v>1200.548107</v>
      </c>
      <c r="O49" s="119" t="s">
        <v>242</v>
      </c>
      <c r="P49" s="2"/>
      <c r="Q49" s="2"/>
      <c r="R49" s="2"/>
      <c r="S49" s="2"/>
      <c r="T49" s="2"/>
      <c r="U49" s="2"/>
      <c r="V49" s="2"/>
      <c r="W49" s="2"/>
      <c r="X49" s="2"/>
      <c r="Y49" s="2"/>
      <c r="Z49" s="2"/>
    </row>
    <row r="50" ht="15.75" customHeight="1">
      <c r="A50" s="2" t="s">
        <v>243</v>
      </c>
      <c r="B50" s="6">
        <f>Historicals!B106</f>
        <v>1262</v>
      </c>
      <c r="C50" s="6">
        <f>Historicals!C106</f>
        <v>748</v>
      </c>
      <c r="D50" s="6">
        <f>Historicals!D106</f>
        <v>703</v>
      </c>
      <c r="E50" s="6">
        <f>Historicals!E106</f>
        <v>529</v>
      </c>
      <c r="F50" s="6">
        <f>Historicals!F106</f>
        <v>757</v>
      </c>
      <c r="G50" s="6">
        <f>Historicals!G106</f>
        <v>1028</v>
      </c>
      <c r="H50" s="6">
        <f>Historicals!H106</f>
        <v>1177</v>
      </c>
      <c r="I50" s="6">
        <f>Historicals!I106</f>
        <v>1231</v>
      </c>
      <c r="J50" s="6">
        <f t="shared" ref="J50:N50" si="28">J13</f>
        <v>1285.524324</v>
      </c>
      <c r="K50" s="6">
        <f t="shared" si="28"/>
        <v>1369.240955</v>
      </c>
      <c r="L50" s="6">
        <f t="shared" si="28"/>
        <v>1458.304421</v>
      </c>
      <c r="M50" s="6">
        <f t="shared" si="28"/>
        <v>1553.056216</v>
      </c>
      <c r="N50" s="6">
        <f t="shared" si="28"/>
        <v>1653.859643</v>
      </c>
      <c r="O50" s="119" t="s">
        <v>242</v>
      </c>
      <c r="P50" s="2"/>
      <c r="Q50" s="2"/>
      <c r="R50" s="2"/>
      <c r="S50" s="2"/>
      <c r="T50" s="2"/>
      <c r="U50" s="2"/>
      <c r="V50" s="2"/>
      <c r="W50" s="2"/>
      <c r="X50" s="2"/>
      <c r="Y50" s="2"/>
      <c r="Z50" s="2"/>
    </row>
    <row r="51" ht="15.75" customHeight="1">
      <c r="A51" s="3" t="s">
        <v>244</v>
      </c>
      <c r="B51" s="118">
        <f t="shared" ref="B51:N51" si="29">B48-B50</f>
        <v>2971</v>
      </c>
      <c r="C51" s="118">
        <f t="shared" si="29"/>
        <v>3894</v>
      </c>
      <c r="D51" s="118">
        <f t="shared" si="29"/>
        <v>4242</v>
      </c>
      <c r="E51" s="118">
        <f t="shared" si="29"/>
        <v>3850</v>
      </c>
      <c r="F51" s="118">
        <f t="shared" si="29"/>
        <v>4093</v>
      </c>
      <c r="G51" s="118">
        <f t="shared" si="29"/>
        <v>1948</v>
      </c>
      <c r="H51" s="118">
        <f t="shared" si="29"/>
        <v>5746</v>
      </c>
      <c r="I51" s="118">
        <f t="shared" si="29"/>
        <v>5625</v>
      </c>
      <c r="J51" s="118">
        <f t="shared" si="29"/>
        <v>5243.365761</v>
      </c>
      <c r="K51" s="118">
        <f t="shared" si="29"/>
        <v>5576.63797</v>
      </c>
      <c r="L51" s="118">
        <f t="shared" si="29"/>
        <v>5931.195695</v>
      </c>
      <c r="M51" s="118">
        <f t="shared" si="29"/>
        <v>6308.398404</v>
      </c>
      <c r="N51" s="118">
        <f t="shared" si="29"/>
        <v>6709.692394</v>
      </c>
      <c r="O51" s="119"/>
      <c r="P51" s="3"/>
      <c r="Q51" s="3"/>
      <c r="R51" s="3"/>
      <c r="S51" s="3"/>
      <c r="T51" s="3"/>
      <c r="U51" s="3"/>
      <c r="V51" s="3"/>
      <c r="W51" s="3"/>
      <c r="X51" s="3"/>
      <c r="Y51" s="3"/>
      <c r="Z51" s="3"/>
    </row>
    <row r="52" ht="15.75" customHeight="1">
      <c r="A52" s="2" t="s">
        <v>245</v>
      </c>
      <c r="B52" s="6">
        <f>Historicals!B104</f>
        <v>53</v>
      </c>
      <c r="C52" s="6">
        <f>Historicals!C104</f>
        <v>70</v>
      </c>
      <c r="D52" s="6">
        <f>Historicals!D104</f>
        <v>98</v>
      </c>
      <c r="E52" s="6">
        <f>Historicals!E104</f>
        <v>125</v>
      </c>
      <c r="F52" s="6">
        <f>Historicals!F104</f>
        <v>153</v>
      </c>
      <c r="G52" s="6">
        <f>Historicals!G104</f>
        <v>140</v>
      </c>
      <c r="H52" s="6">
        <f>Historicals!H104</f>
        <v>293</v>
      </c>
      <c r="I52" s="6">
        <f>Historicals!I104</f>
        <v>290</v>
      </c>
      <c r="J52" s="6">
        <f t="shared" ref="J52:N52" si="30">J73*J53</f>
        <v>125.7502082</v>
      </c>
      <c r="K52" s="6">
        <f t="shared" si="30"/>
        <v>125.7502082</v>
      </c>
      <c r="L52" s="6">
        <f t="shared" si="30"/>
        <v>125.7502082</v>
      </c>
      <c r="M52" s="6">
        <f t="shared" si="30"/>
        <v>125.7502082</v>
      </c>
      <c r="N52" s="6">
        <f t="shared" si="30"/>
        <v>125.7502082</v>
      </c>
      <c r="O52" s="103" t="s">
        <v>246</v>
      </c>
      <c r="P52" s="2"/>
      <c r="Q52" s="2"/>
      <c r="R52" s="2"/>
      <c r="S52" s="2"/>
      <c r="T52" s="2"/>
      <c r="U52" s="2"/>
      <c r="V52" s="2"/>
      <c r="W52" s="2"/>
      <c r="X52" s="2"/>
      <c r="Y52" s="2"/>
      <c r="Z52" s="2"/>
    </row>
    <row r="53" ht="15.75" customHeight="1">
      <c r="A53" s="120" t="s">
        <v>247</v>
      </c>
      <c r="B53" s="114">
        <f t="shared" ref="B53:I53" si="31">B52/B73</f>
        <v>-0.01136363636</v>
      </c>
      <c r="C53" s="114">
        <f t="shared" si="31"/>
        <v>-0.02057613169</v>
      </c>
      <c r="D53" s="114">
        <f t="shared" si="31"/>
        <v>-0.04122843921</v>
      </c>
      <c r="E53" s="114">
        <f t="shared" si="31"/>
        <v>-0.08710801394</v>
      </c>
      <c r="F53" s="114">
        <f t="shared" si="31"/>
        <v>-0.129222973</v>
      </c>
      <c r="G53" s="114">
        <f t="shared" si="31"/>
        <v>0.1609195402</v>
      </c>
      <c r="H53" s="114">
        <f t="shared" si="31"/>
        <v>-0.07214971682</v>
      </c>
      <c r="I53" s="114">
        <f t="shared" si="31"/>
        <v>-0.08130081301</v>
      </c>
      <c r="J53" s="114">
        <f>AVERAGE(B53:I53)</f>
        <v>-0.03525377297</v>
      </c>
      <c r="K53" s="114">
        <v>-0.03525377297087301</v>
      </c>
      <c r="L53" s="114">
        <v>-0.03525377297087301</v>
      </c>
      <c r="M53" s="114">
        <v>-0.03525377297087301</v>
      </c>
      <c r="N53" s="114">
        <v>-0.03525377297087301</v>
      </c>
      <c r="O53" s="66" t="s">
        <v>174</v>
      </c>
      <c r="P53" s="114"/>
      <c r="Q53" s="114"/>
      <c r="R53" s="114"/>
      <c r="S53" s="114"/>
      <c r="T53" s="114"/>
      <c r="U53" s="114"/>
      <c r="V53" s="114"/>
      <c r="W53" s="114"/>
      <c r="X53" s="114"/>
      <c r="Y53" s="114"/>
      <c r="Z53" s="114"/>
    </row>
    <row r="54" ht="15.75" customHeight="1">
      <c r="A54" s="2" t="s">
        <v>248</v>
      </c>
      <c r="B54" s="6">
        <f>B77-B78</f>
        <v>0</v>
      </c>
      <c r="C54" s="6">
        <f t="shared" ref="C54:I54" si="32">B24-C24</f>
        <v>-324</v>
      </c>
      <c r="D54" s="6">
        <f t="shared" si="32"/>
        <v>-796</v>
      </c>
      <c r="E54" s="6">
        <f t="shared" si="32"/>
        <v>204</v>
      </c>
      <c r="F54" s="6">
        <f t="shared" si="32"/>
        <v>-802</v>
      </c>
      <c r="G54" s="6">
        <f t="shared" si="32"/>
        <v>-586</v>
      </c>
      <c r="H54" s="6">
        <f t="shared" si="32"/>
        <v>-613</v>
      </c>
      <c r="I54" s="6">
        <f t="shared" si="32"/>
        <v>-1248</v>
      </c>
      <c r="J54" s="6">
        <f t="shared" ref="J54:N54" si="33">-(J24-I24)</f>
        <v>215.6378093</v>
      </c>
      <c r="K54" s="6">
        <f t="shared" si="33"/>
        <v>-607.6018763</v>
      </c>
      <c r="L54" s="6">
        <f t="shared" si="33"/>
        <v>-646.40835</v>
      </c>
      <c r="M54" s="6">
        <f t="shared" si="33"/>
        <v>-687.6933257</v>
      </c>
      <c r="N54" s="6">
        <f t="shared" si="33"/>
        <v>-731.6151008</v>
      </c>
      <c r="O54" s="103" t="s">
        <v>249</v>
      </c>
      <c r="P54" s="2"/>
      <c r="Q54" s="2"/>
      <c r="R54" s="2"/>
      <c r="S54" s="2"/>
      <c r="T54" s="2"/>
      <c r="U54" s="2"/>
      <c r="V54" s="2"/>
      <c r="W54" s="2"/>
      <c r="X54" s="2"/>
      <c r="Y54" s="2"/>
      <c r="Z54" s="2"/>
    </row>
    <row r="55" ht="15.75" customHeight="1">
      <c r="A55" s="2" t="s">
        <v>182</v>
      </c>
      <c r="B55" s="6">
        <f>(Historicals!B82)</f>
        <v>-963</v>
      </c>
      <c r="C55" s="6">
        <f>(Historicals!C82)</f>
        <v>-1143</v>
      </c>
      <c r="D55" s="6">
        <f>(Historicals!D82)</f>
        <v>-1105</v>
      </c>
      <c r="E55" s="6">
        <f>(Historicals!E82)</f>
        <v>-1028</v>
      </c>
      <c r="F55" s="6">
        <f>(Historicals!F82)</f>
        <v>-1119</v>
      </c>
      <c r="G55" s="6">
        <f>(Historicals!G82)</f>
        <v>-1086</v>
      </c>
      <c r="H55" s="6">
        <f>(Historicals!H82)</f>
        <v>-695</v>
      </c>
      <c r="I55" s="6">
        <f>(Historicals!I82)</f>
        <v>-758</v>
      </c>
      <c r="J55" s="6">
        <f>-'Segmental forecast'!J15</f>
        <v>-1344.281849</v>
      </c>
      <c r="K55" s="6">
        <f>-'Segmental forecast'!K15</f>
        <v>-1430.13879</v>
      </c>
      <c r="L55" s="6">
        <f>-'Segmental forecast'!L15</f>
        <v>-1521.479264</v>
      </c>
      <c r="M55" s="6">
        <f>-'Segmental forecast'!M15</f>
        <v>-1618.653495</v>
      </c>
      <c r="N55" s="6">
        <f>-'Segmental forecast'!N15</f>
        <v>-1722.034075</v>
      </c>
      <c r="O55" s="103" t="s">
        <v>205</v>
      </c>
      <c r="P55" s="2"/>
      <c r="Q55" s="2"/>
      <c r="R55" s="2"/>
      <c r="S55" s="2"/>
      <c r="T55" s="2"/>
      <c r="U55" s="2"/>
      <c r="V55" s="2"/>
      <c r="W55" s="2"/>
      <c r="X55" s="2"/>
      <c r="Y55" s="2"/>
      <c r="Z55" s="2"/>
    </row>
    <row r="56" ht="15.75" customHeight="1">
      <c r="A56" s="3" t="s">
        <v>250</v>
      </c>
      <c r="B56" s="118">
        <f t="shared" ref="B56:N56" si="34">B51+B49+B55+B54</f>
        <v>2614</v>
      </c>
      <c r="C56" s="118">
        <f t="shared" si="34"/>
        <v>3076</v>
      </c>
      <c r="D56" s="118">
        <f t="shared" si="34"/>
        <v>3047</v>
      </c>
      <c r="E56" s="118">
        <f t="shared" si="34"/>
        <v>3773</v>
      </c>
      <c r="F56" s="118">
        <f t="shared" si="34"/>
        <v>2877</v>
      </c>
      <c r="G56" s="118">
        <f t="shared" si="34"/>
        <v>997</v>
      </c>
      <c r="H56" s="118">
        <f t="shared" si="34"/>
        <v>5182</v>
      </c>
      <c r="I56" s="118">
        <f t="shared" si="34"/>
        <v>4336</v>
      </c>
      <c r="J56" s="118">
        <f t="shared" si="34"/>
        <v>5051.912833</v>
      </c>
      <c r="K56" s="118">
        <f t="shared" si="34"/>
        <v>4535.94518</v>
      </c>
      <c r="L56" s="118">
        <f t="shared" si="34"/>
        <v>4824.035669</v>
      </c>
      <c r="M56" s="118">
        <f t="shared" si="34"/>
        <v>5130.525995</v>
      </c>
      <c r="N56" s="118">
        <f t="shared" si="34"/>
        <v>5456.591325</v>
      </c>
      <c r="O56" s="116"/>
      <c r="P56" s="3"/>
      <c r="Q56" s="3"/>
      <c r="R56" s="3"/>
      <c r="S56" s="3"/>
      <c r="T56" s="3"/>
      <c r="U56" s="3"/>
      <c r="V56" s="3"/>
      <c r="W56" s="3"/>
      <c r="X56" s="3"/>
      <c r="Y56" s="3"/>
      <c r="Z56" s="3"/>
    </row>
    <row r="57" ht="15.75" customHeight="1">
      <c r="A57" s="2" t="s">
        <v>251</v>
      </c>
      <c r="B57" s="6">
        <f>Historicals!B76-B49-B51-B54</f>
        <v>1103</v>
      </c>
      <c r="C57" s="6">
        <f>Historicals!C76-C49-C51-C54</f>
        <v>-1123</v>
      </c>
      <c r="D57" s="6">
        <f>Historicals!D76-D49-D51-D54</f>
        <v>-306</v>
      </c>
      <c r="E57" s="6">
        <f>Historicals!E76-E49-E51-E54</f>
        <v>154</v>
      </c>
      <c r="F57" s="6">
        <f>Historicals!F76-F49-F51-F54</f>
        <v>1907</v>
      </c>
      <c r="G57" s="6">
        <f>Historicals!G76-G49-G51-G54</f>
        <v>402</v>
      </c>
      <c r="H57" s="6">
        <f>Historicals!H76-H49-H51-H54</f>
        <v>780</v>
      </c>
      <c r="I57" s="6">
        <f>Historicals!I76-I49-I51-I54</f>
        <v>94</v>
      </c>
      <c r="J57" s="6"/>
      <c r="K57" s="6"/>
      <c r="L57" s="6"/>
      <c r="M57" s="6"/>
      <c r="N57" s="6"/>
      <c r="O57" s="98"/>
      <c r="P57" s="2"/>
      <c r="Q57" s="2"/>
      <c r="R57" s="2"/>
      <c r="S57" s="2"/>
      <c r="T57" s="2"/>
      <c r="U57" s="2"/>
      <c r="V57" s="2"/>
      <c r="W57" s="2"/>
      <c r="X57" s="2"/>
      <c r="Y57" s="2"/>
      <c r="Z57" s="2"/>
    </row>
    <row r="58" ht="15.75" customHeight="1">
      <c r="A58" s="121" t="s">
        <v>252</v>
      </c>
      <c r="B58" s="122">
        <f t="shared" ref="B58:N58" si="35">B56+B57-B55</f>
        <v>4680</v>
      </c>
      <c r="C58" s="122">
        <f t="shared" si="35"/>
        <v>3096</v>
      </c>
      <c r="D58" s="122">
        <f t="shared" si="35"/>
        <v>3846</v>
      </c>
      <c r="E58" s="122">
        <f t="shared" si="35"/>
        <v>4955</v>
      </c>
      <c r="F58" s="122">
        <f t="shared" si="35"/>
        <v>5903</v>
      </c>
      <c r="G58" s="122">
        <f t="shared" si="35"/>
        <v>2485</v>
      </c>
      <c r="H58" s="122">
        <f t="shared" si="35"/>
        <v>6657</v>
      </c>
      <c r="I58" s="122">
        <f t="shared" si="35"/>
        <v>5188</v>
      </c>
      <c r="J58" s="122">
        <f t="shared" si="35"/>
        <v>6396.194682</v>
      </c>
      <c r="K58" s="122">
        <f t="shared" si="35"/>
        <v>5966.08397</v>
      </c>
      <c r="L58" s="122">
        <f t="shared" si="35"/>
        <v>6345.514933</v>
      </c>
      <c r="M58" s="122">
        <f t="shared" si="35"/>
        <v>6749.179491</v>
      </c>
      <c r="N58" s="122">
        <f t="shared" si="35"/>
        <v>7178.625401</v>
      </c>
      <c r="O58" s="116"/>
      <c r="P58" s="3"/>
      <c r="Q58" s="3"/>
      <c r="R58" s="3"/>
      <c r="S58" s="3"/>
      <c r="T58" s="3"/>
      <c r="U58" s="3"/>
      <c r="V58" s="3"/>
      <c r="W58" s="3"/>
      <c r="X58" s="3"/>
      <c r="Y58" s="3"/>
      <c r="Z58" s="3"/>
    </row>
    <row r="59" ht="15.75" customHeight="1">
      <c r="A59" s="2" t="s">
        <v>253</v>
      </c>
      <c r="B59" s="6"/>
      <c r="C59" s="6"/>
      <c r="D59" s="6"/>
      <c r="E59" s="6"/>
      <c r="F59" s="6"/>
      <c r="G59" s="6"/>
      <c r="H59" s="6"/>
      <c r="I59" s="6"/>
      <c r="J59" s="6"/>
      <c r="K59" s="6"/>
      <c r="L59" s="6"/>
      <c r="M59" s="6"/>
      <c r="N59" s="6"/>
      <c r="O59" s="98"/>
      <c r="P59" s="2"/>
      <c r="Q59" s="2"/>
      <c r="R59" s="2"/>
      <c r="S59" s="2"/>
      <c r="T59" s="2"/>
      <c r="U59" s="2"/>
      <c r="V59" s="2"/>
      <c r="W59" s="2"/>
      <c r="X59" s="2"/>
      <c r="Y59" s="2"/>
      <c r="Z59" s="2"/>
    </row>
    <row r="60" ht="15.75" customHeight="1">
      <c r="A60" s="2" t="s">
        <v>254</v>
      </c>
      <c r="B60" s="6">
        <f>SUM(Historicals!B78:B81)+SUM(Historicals!B83:B84)</f>
        <v>788</v>
      </c>
      <c r="C60" s="6">
        <f>SUM(Historicals!C78:C81)+SUM(Historicals!C83:C84)</f>
        <v>109</v>
      </c>
      <c r="D60" s="6">
        <f>SUM(Historicals!D78:D81)+SUM(Historicals!D83:D84)</f>
        <v>97</v>
      </c>
      <c r="E60" s="6">
        <f>SUM(Historicals!E78:E81)+SUM(Historicals!E83:E84)</f>
        <v>1304</v>
      </c>
      <c r="F60" s="6">
        <f>SUM(Historicals!F78:F81)+SUM(Historicals!F83:F84)</f>
        <v>855</v>
      </c>
      <c r="G60" s="6">
        <f>SUM(Historicals!G78:G81)+SUM(Historicals!G83:G84)</f>
        <v>58</v>
      </c>
      <c r="H60" s="6">
        <f>SUM(Historicals!H78:H81)+SUM(Historicals!H83:H84)</f>
        <v>-3105</v>
      </c>
      <c r="I60" s="6">
        <f>SUM(Historicals!I78:I81)+SUM(Historicals!I83:I84)</f>
        <v>-766</v>
      </c>
      <c r="J60" s="6"/>
      <c r="K60" s="6"/>
      <c r="L60" s="6"/>
      <c r="M60" s="6"/>
      <c r="N60" s="6"/>
      <c r="O60" s="98"/>
      <c r="P60" s="2"/>
      <c r="Q60" s="2"/>
      <c r="R60" s="2"/>
      <c r="S60" s="2"/>
      <c r="T60" s="2"/>
      <c r="U60" s="2"/>
      <c r="V60" s="2"/>
      <c r="W60" s="2"/>
      <c r="X60" s="2"/>
      <c r="Y60" s="2"/>
      <c r="Z60" s="2"/>
    </row>
    <row r="61" ht="15.75" customHeight="1">
      <c r="A61" s="121" t="s">
        <v>255</v>
      </c>
      <c r="B61" s="122">
        <f t="shared" ref="B61:N61" si="36">B59+B60+B55</f>
        <v>-175</v>
      </c>
      <c r="C61" s="122">
        <f t="shared" si="36"/>
        <v>-1034</v>
      </c>
      <c r="D61" s="122">
        <f t="shared" si="36"/>
        <v>-1008</v>
      </c>
      <c r="E61" s="122">
        <f t="shared" si="36"/>
        <v>276</v>
      </c>
      <c r="F61" s="122">
        <f t="shared" si="36"/>
        <v>-264</v>
      </c>
      <c r="G61" s="122">
        <f t="shared" si="36"/>
        <v>-1028</v>
      </c>
      <c r="H61" s="122">
        <f t="shared" si="36"/>
        <v>-3800</v>
      </c>
      <c r="I61" s="122">
        <f t="shared" si="36"/>
        <v>-1524</v>
      </c>
      <c r="J61" s="122">
        <f t="shared" si="36"/>
        <v>-1344.281849</v>
      </c>
      <c r="K61" s="122">
        <f t="shared" si="36"/>
        <v>-1430.13879</v>
      </c>
      <c r="L61" s="122">
        <f t="shared" si="36"/>
        <v>-1521.479264</v>
      </c>
      <c r="M61" s="122">
        <f t="shared" si="36"/>
        <v>-1618.653495</v>
      </c>
      <c r="N61" s="122">
        <f t="shared" si="36"/>
        <v>-1722.034075</v>
      </c>
      <c r="O61" s="116"/>
      <c r="P61" s="3"/>
      <c r="Q61" s="3"/>
      <c r="R61" s="3"/>
      <c r="S61" s="3"/>
      <c r="T61" s="3"/>
      <c r="U61" s="3"/>
      <c r="V61" s="3"/>
      <c r="W61" s="3"/>
      <c r="X61" s="3"/>
      <c r="Y61" s="3"/>
      <c r="Z61" s="3"/>
    </row>
    <row r="62" ht="15.75" customHeight="1">
      <c r="A62" s="2" t="s">
        <v>256</v>
      </c>
      <c r="B62" s="6">
        <f>Historicals!B91+Historicals!B93</f>
        <v>732</v>
      </c>
      <c r="C62" s="6">
        <f>Historicals!C91+Historicals!C93</f>
        <v>-2731</v>
      </c>
      <c r="D62" s="6">
        <f>Historicals!D91+Historicals!D93</f>
        <v>-2734</v>
      </c>
      <c r="E62" s="6">
        <f>Historicals!E91+Historicals!E93</f>
        <v>-3521</v>
      </c>
      <c r="F62" s="6">
        <f>Historicals!F91+Historicals!F93</f>
        <v>-3586</v>
      </c>
      <c r="G62" s="6">
        <f>Historicals!G91+Historicals!G93</f>
        <v>-2182</v>
      </c>
      <c r="H62" s="6">
        <f>Historicals!H91+Historicals!H93</f>
        <v>564</v>
      </c>
      <c r="I62" s="6">
        <f>Historicals!I91+Historicals!I93</f>
        <v>-2863</v>
      </c>
      <c r="J62" s="6">
        <v>-2863.0</v>
      </c>
      <c r="K62" s="6">
        <v>-2863.0</v>
      </c>
      <c r="L62" s="6">
        <v>-2863.0</v>
      </c>
      <c r="M62" s="6">
        <v>-2863.0</v>
      </c>
      <c r="N62" s="6">
        <v>-2863.0</v>
      </c>
      <c r="O62" s="103" t="s">
        <v>214</v>
      </c>
      <c r="P62" s="2"/>
      <c r="Q62" s="2"/>
      <c r="R62" s="2"/>
      <c r="S62" s="2"/>
      <c r="T62" s="2"/>
      <c r="U62" s="2"/>
      <c r="V62" s="2"/>
      <c r="W62" s="2"/>
      <c r="X62" s="2"/>
      <c r="Y62" s="2"/>
      <c r="Z62" s="2"/>
    </row>
    <row r="63" ht="15.75" customHeight="1">
      <c r="A63" s="2" t="s">
        <v>257</v>
      </c>
      <c r="B63" s="6">
        <f>Historicals!B94</f>
        <v>-2534</v>
      </c>
      <c r="C63" s="6">
        <f>Historicals!C94</f>
        <v>-1022</v>
      </c>
      <c r="D63" s="6">
        <f>Historicals!D94</f>
        <v>-1133</v>
      </c>
      <c r="E63" s="6">
        <f>Historicals!E94</f>
        <v>-1243</v>
      </c>
      <c r="F63" s="6">
        <f>Historicals!F94</f>
        <v>-1332</v>
      </c>
      <c r="G63" s="6">
        <f>Historicals!G94</f>
        <v>-1452</v>
      </c>
      <c r="H63" s="6">
        <f>Historicals!H94</f>
        <v>-1638</v>
      </c>
      <c r="I63" s="6">
        <v>-1837.0</v>
      </c>
      <c r="J63" s="6">
        <f t="shared" ref="J63:N63" si="37">-J16*J18</f>
        <v>-2206.08466</v>
      </c>
      <c r="K63" s="6">
        <f t="shared" si="37"/>
        <v>-2349.750533</v>
      </c>
      <c r="L63" s="6">
        <f t="shared" si="37"/>
        <v>-2502.592096</v>
      </c>
      <c r="M63" s="6">
        <f t="shared" si="37"/>
        <v>-2665.195383</v>
      </c>
      <c r="N63" s="6">
        <f t="shared" si="37"/>
        <v>-2838.183859</v>
      </c>
      <c r="O63" s="103" t="s">
        <v>214</v>
      </c>
      <c r="P63" s="2"/>
      <c r="Q63" s="2"/>
      <c r="R63" s="2"/>
      <c r="S63" s="2"/>
      <c r="T63" s="2"/>
      <c r="U63" s="2"/>
      <c r="V63" s="2"/>
      <c r="W63" s="2"/>
      <c r="X63" s="2"/>
      <c r="Y63" s="2"/>
      <c r="Z63" s="2"/>
    </row>
    <row r="64" ht="15.75" customHeight="1">
      <c r="A64" s="2" t="s">
        <v>258</v>
      </c>
      <c r="B64" s="6">
        <f>SUM(Historicals!B87:B90)+Historicals!B92</f>
        <v>129</v>
      </c>
      <c r="C64" s="6">
        <f>SUM(Historicals!C87:C90)+Historicals!C92</f>
        <v>1082</v>
      </c>
      <c r="D64" s="6">
        <f>SUM(Historicals!D87:D90)+Historicals!D92</f>
        <v>1925</v>
      </c>
      <c r="E64" s="6">
        <f>SUM(Historicals!E87:E90)+Historicals!E92</f>
        <v>-16</v>
      </c>
      <c r="F64" s="6">
        <f>SUM(Historicals!F87:F90)+Historicals!F92</f>
        <v>-325</v>
      </c>
      <c r="G64" s="6">
        <f>SUM(Historicals!G87:G90)+Historicals!G92</f>
        <v>6183</v>
      </c>
      <c r="H64" s="6">
        <f>SUM(Historicals!H87:H90)+Historicals!H92</f>
        <v>-249</v>
      </c>
      <c r="I64" s="6">
        <f>SUM(Historicals!I87:I90)+Historicals!I92</f>
        <v>15</v>
      </c>
      <c r="J64" s="6">
        <v>15.0</v>
      </c>
      <c r="K64" s="6">
        <v>15.0</v>
      </c>
      <c r="L64" s="6">
        <v>15.0</v>
      </c>
      <c r="M64" s="6">
        <v>15.0</v>
      </c>
      <c r="N64" s="6">
        <v>15.0</v>
      </c>
      <c r="O64" s="103" t="s">
        <v>214</v>
      </c>
      <c r="P64" s="2"/>
      <c r="Q64" s="2"/>
      <c r="R64" s="2"/>
      <c r="S64" s="2"/>
      <c r="T64" s="2"/>
      <c r="U64" s="2"/>
      <c r="V64" s="2"/>
      <c r="W64" s="2"/>
      <c r="X64" s="2"/>
      <c r="Y64" s="2"/>
      <c r="Z64" s="2"/>
    </row>
    <row r="65" ht="15.75" customHeight="1">
      <c r="A65" s="2" t="s">
        <v>259</v>
      </c>
      <c r="B65" s="6">
        <f>Historicals!B95</f>
        <v>-899</v>
      </c>
      <c r="C65" s="6">
        <f>Historicals!C95</f>
        <v>-22</v>
      </c>
      <c r="D65" s="6">
        <f>Historicals!D95</f>
        <v>-29</v>
      </c>
      <c r="E65" s="6">
        <f>Historicals!E95</f>
        <v>-55</v>
      </c>
      <c r="F65" s="6">
        <f>Historicals!F95</f>
        <v>-50</v>
      </c>
      <c r="G65" s="6">
        <f>Historicals!G95</f>
        <v>-58</v>
      </c>
      <c r="H65" s="6">
        <f>Historicals!H95</f>
        <v>-136</v>
      </c>
      <c r="I65" s="6">
        <f>Historicals!I95</f>
        <v>-151</v>
      </c>
      <c r="J65" s="6"/>
      <c r="K65" s="6"/>
      <c r="L65" s="6"/>
      <c r="M65" s="6"/>
      <c r="N65" s="6"/>
      <c r="O65" s="98"/>
      <c r="P65" s="2"/>
      <c r="Q65" s="2"/>
      <c r="R65" s="2"/>
      <c r="S65" s="2"/>
      <c r="T65" s="2"/>
      <c r="U65" s="2"/>
      <c r="V65" s="2"/>
      <c r="W65" s="2"/>
      <c r="X65" s="2"/>
      <c r="Y65" s="2"/>
      <c r="Z65" s="2"/>
    </row>
    <row r="66" ht="15.75" customHeight="1">
      <c r="A66" s="121" t="s">
        <v>260</v>
      </c>
      <c r="B66" s="122">
        <f t="shared" ref="B66:N66" si="38">B62+B63+B64+B65</f>
        <v>-2572</v>
      </c>
      <c r="C66" s="122">
        <f t="shared" si="38"/>
        <v>-2693</v>
      </c>
      <c r="D66" s="122">
        <f t="shared" si="38"/>
        <v>-1971</v>
      </c>
      <c r="E66" s="122">
        <f t="shared" si="38"/>
        <v>-4835</v>
      </c>
      <c r="F66" s="122">
        <f t="shared" si="38"/>
        <v>-5293</v>
      </c>
      <c r="G66" s="122">
        <f t="shared" si="38"/>
        <v>2491</v>
      </c>
      <c r="H66" s="122">
        <f t="shared" si="38"/>
        <v>-1459</v>
      </c>
      <c r="I66" s="122">
        <f t="shared" si="38"/>
        <v>-4836</v>
      </c>
      <c r="J66" s="122">
        <f t="shared" si="38"/>
        <v>-5054.08466</v>
      </c>
      <c r="K66" s="122">
        <f t="shared" si="38"/>
        <v>-5197.750533</v>
      </c>
      <c r="L66" s="122">
        <f t="shared" si="38"/>
        <v>-5350.592096</v>
      </c>
      <c r="M66" s="122">
        <f t="shared" si="38"/>
        <v>-5513.195383</v>
      </c>
      <c r="N66" s="122">
        <f t="shared" si="38"/>
        <v>-5686.183859</v>
      </c>
      <c r="O66" s="116"/>
      <c r="P66" s="3"/>
      <c r="Q66" s="3"/>
      <c r="R66" s="3"/>
      <c r="S66" s="3"/>
      <c r="T66" s="3"/>
      <c r="U66" s="3"/>
      <c r="V66" s="3"/>
      <c r="W66" s="3"/>
      <c r="X66" s="3"/>
      <c r="Y66" s="3"/>
      <c r="Z66" s="3"/>
    </row>
    <row r="67" ht="15.75" customHeight="1">
      <c r="A67" s="2" t="s">
        <v>261</v>
      </c>
      <c r="B67" s="6">
        <f>Historicals!B97</f>
        <v>-83</v>
      </c>
      <c r="C67" s="6">
        <f>Historicals!C97</f>
        <v>-105</v>
      </c>
      <c r="D67" s="6">
        <f>Historicals!D97</f>
        <v>-20</v>
      </c>
      <c r="E67" s="6">
        <f>Historicals!E97</f>
        <v>45</v>
      </c>
      <c r="F67" s="6">
        <f>Historicals!F97</f>
        <v>-129</v>
      </c>
      <c r="G67" s="6">
        <f>Historicals!G97</f>
        <v>-66</v>
      </c>
      <c r="H67" s="6">
        <f>Historicals!H97</f>
        <v>143</v>
      </c>
      <c r="I67" s="6">
        <f>Historicals!I97</f>
        <v>-143</v>
      </c>
      <c r="J67" s="6"/>
      <c r="K67" s="6"/>
      <c r="L67" s="6"/>
      <c r="M67" s="6"/>
      <c r="N67" s="6"/>
      <c r="O67" s="98"/>
      <c r="P67" s="2"/>
      <c r="Q67" s="2"/>
      <c r="R67" s="2"/>
      <c r="S67" s="2"/>
      <c r="T67" s="2"/>
      <c r="U67" s="2"/>
      <c r="V67" s="2"/>
      <c r="W67" s="2"/>
      <c r="X67" s="2"/>
      <c r="Y67" s="2"/>
      <c r="Z67" s="2"/>
    </row>
    <row r="68" ht="15.75" customHeight="1">
      <c r="A68" s="121" t="s">
        <v>262</v>
      </c>
      <c r="B68" s="122">
        <f t="shared" ref="B68:N68" si="39">B67+B66+B61+B58</f>
        <v>1850</v>
      </c>
      <c r="C68" s="122">
        <f t="shared" si="39"/>
        <v>-736</v>
      </c>
      <c r="D68" s="122">
        <f t="shared" si="39"/>
        <v>847</v>
      </c>
      <c r="E68" s="122">
        <f t="shared" si="39"/>
        <v>441</v>
      </c>
      <c r="F68" s="122">
        <f t="shared" si="39"/>
        <v>217</v>
      </c>
      <c r="G68" s="122">
        <f t="shared" si="39"/>
        <v>3882</v>
      </c>
      <c r="H68" s="122">
        <f t="shared" si="39"/>
        <v>1541</v>
      </c>
      <c r="I68" s="122">
        <f t="shared" si="39"/>
        <v>-1315</v>
      </c>
      <c r="J68" s="122">
        <f t="shared" si="39"/>
        <v>-2.171827071</v>
      </c>
      <c r="K68" s="122">
        <f t="shared" si="39"/>
        <v>-661.8053532</v>
      </c>
      <c r="L68" s="122">
        <f t="shared" si="39"/>
        <v>-526.5564271</v>
      </c>
      <c r="M68" s="122">
        <f t="shared" si="39"/>
        <v>-382.6693876</v>
      </c>
      <c r="N68" s="122">
        <f t="shared" si="39"/>
        <v>-229.5925334</v>
      </c>
      <c r="O68" s="116"/>
      <c r="P68" s="3"/>
      <c r="Q68" s="3"/>
      <c r="R68" s="3"/>
      <c r="S68" s="3"/>
      <c r="T68" s="3"/>
      <c r="U68" s="3"/>
      <c r="V68" s="3"/>
      <c r="W68" s="3"/>
      <c r="X68" s="3"/>
      <c r="Y68" s="3"/>
      <c r="Z68" s="3"/>
    </row>
    <row r="69" ht="15.75" customHeight="1">
      <c r="A69" s="2" t="s">
        <v>263</v>
      </c>
      <c r="B69" s="6">
        <f>Historicals!B99</f>
        <v>2220</v>
      </c>
      <c r="C69" s="6">
        <f>Historicals!C99</f>
        <v>3852</v>
      </c>
      <c r="D69" s="6">
        <f>Historicals!D99</f>
        <v>3138</v>
      </c>
      <c r="E69" s="6">
        <f>Historicals!E99</f>
        <v>3808</v>
      </c>
      <c r="F69" s="6">
        <f>Historicals!F99</f>
        <v>4249</v>
      </c>
      <c r="G69" s="6">
        <f>Historicals!G99</f>
        <v>4466</v>
      </c>
      <c r="H69" s="6">
        <f>Historicals!H99</f>
        <v>8348</v>
      </c>
      <c r="I69" s="6">
        <f>Historicals!I99</f>
        <v>9889</v>
      </c>
      <c r="J69" s="6">
        <f t="shared" ref="J69:N69" si="40">I70</f>
        <v>8574</v>
      </c>
      <c r="K69" s="6">
        <f t="shared" si="40"/>
        <v>8571.828173</v>
      </c>
      <c r="L69" s="6">
        <f t="shared" si="40"/>
        <v>7910.02282</v>
      </c>
      <c r="M69" s="6">
        <f t="shared" si="40"/>
        <v>7383.466393</v>
      </c>
      <c r="N69" s="6">
        <f t="shared" si="40"/>
        <v>7000.797005</v>
      </c>
      <c r="O69" s="98"/>
      <c r="P69" s="2"/>
      <c r="Q69" s="2"/>
      <c r="R69" s="2"/>
      <c r="S69" s="2"/>
      <c r="T69" s="2"/>
      <c r="U69" s="2"/>
      <c r="V69" s="2"/>
      <c r="W69" s="2"/>
      <c r="X69" s="2"/>
      <c r="Y69" s="2"/>
      <c r="Z69" s="2"/>
    </row>
    <row r="70" ht="15.75" customHeight="1">
      <c r="A70" s="105" t="s">
        <v>264</v>
      </c>
      <c r="B70" s="110">
        <f>Historicals!B100</f>
        <v>3852</v>
      </c>
      <c r="C70" s="110">
        <f>Historicals!C100</f>
        <v>3138</v>
      </c>
      <c r="D70" s="110">
        <f>Historicals!D100</f>
        <v>3808</v>
      </c>
      <c r="E70" s="110">
        <f>Historicals!E100</f>
        <v>4249</v>
      </c>
      <c r="F70" s="110">
        <f>Historicals!F100</f>
        <v>4466</v>
      </c>
      <c r="G70" s="110">
        <f>Historicals!G100</f>
        <v>8348</v>
      </c>
      <c r="H70" s="110">
        <f>Historicals!H100</f>
        <v>9889</v>
      </c>
      <c r="I70" s="110">
        <f>Historicals!I100</f>
        <v>8574</v>
      </c>
      <c r="J70" s="110">
        <f t="shared" ref="J70:N70" si="41">J68+J69</f>
        <v>8571.828173</v>
      </c>
      <c r="K70" s="110">
        <f t="shared" si="41"/>
        <v>7910.02282</v>
      </c>
      <c r="L70" s="110">
        <f t="shared" si="41"/>
        <v>7383.466393</v>
      </c>
      <c r="M70" s="110">
        <f t="shared" si="41"/>
        <v>7000.797005</v>
      </c>
      <c r="N70" s="110">
        <f t="shared" si="41"/>
        <v>6771.204472</v>
      </c>
      <c r="O70" s="116"/>
      <c r="P70" s="3"/>
      <c r="Q70" s="3"/>
      <c r="R70" s="3"/>
      <c r="S70" s="3"/>
      <c r="T70" s="3"/>
      <c r="U70" s="3"/>
      <c r="V70" s="3"/>
      <c r="W70" s="3"/>
      <c r="X70" s="3"/>
      <c r="Y70" s="3"/>
      <c r="Z70" s="3"/>
    </row>
    <row r="71" ht="15.75" customHeight="1">
      <c r="A71" s="123"/>
      <c r="B71" s="124"/>
      <c r="C71" s="113"/>
      <c r="D71" s="124"/>
      <c r="E71" s="124"/>
      <c r="F71" s="124"/>
      <c r="G71" s="124"/>
      <c r="H71" s="124"/>
      <c r="I71" s="124"/>
      <c r="J71" s="125"/>
      <c r="K71" s="125"/>
      <c r="L71" s="125"/>
      <c r="M71" s="125"/>
      <c r="N71" s="125"/>
      <c r="O71" s="126"/>
      <c r="P71" s="113"/>
      <c r="Q71" s="113"/>
      <c r="R71" s="113"/>
      <c r="S71" s="113"/>
      <c r="T71" s="113"/>
      <c r="U71" s="113"/>
      <c r="V71" s="113"/>
      <c r="W71" s="113"/>
      <c r="X71" s="113"/>
      <c r="Y71" s="113"/>
      <c r="Z71" s="113"/>
    </row>
    <row r="72" ht="15.75" customHeight="1">
      <c r="A72" s="127"/>
      <c r="B72" s="118"/>
      <c r="C72" s="118"/>
      <c r="D72" s="118"/>
      <c r="E72" s="118"/>
      <c r="F72" s="118"/>
      <c r="G72" s="118"/>
      <c r="H72" s="118"/>
      <c r="I72" s="118"/>
      <c r="J72" s="118"/>
      <c r="K72" s="118"/>
      <c r="L72" s="118"/>
      <c r="M72" s="118"/>
      <c r="N72" s="118"/>
      <c r="O72" s="116"/>
      <c r="P72" s="3"/>
      <c r="Q72" s="3"/>
      <c r="R72" s="3"/>
      <c r="S72" s="3"/>
      <c r="T72" s="3"/>
      <c r="U72" s="3"/>
      <c r="V72" s="3"/>
      <c r="W72" s="3"/>
      <c r="X72" s="3"/>
      <c r="Y72" s="3"/>
      <c r="Z72" s="3"/>
    </row>
    <row r="73" ht="15.75" customHeight="1">
      <c r="A73" s="3" t="s">
        <v>265</v>
      </c>
      <c r="B73" s="118">
        <f t="shared" ref="B73:I73" si="42">B38+B34+B35-(B22+B23)</f>
        <v>-4664</v>
      </c>
      <c r="C73" s="118">
        <f t="shared" si="42"/>
        <v>-3402</v>
      </c>
      <c r="D73" s="118">
        <f t="shared" si="42"/>
        <v>-2377</v>
      </c>
      <c r="E73" s="118">
        <f t="shared" si="42"/>
        <v>-1435</v>
      </c>
      <c r="F73" s="118">
        <f t="shared" si="42"/>
        <v>-1184</v>
      </c>
      <c r="G73" s="118">
        <f t="shared" si="42"/>
        <v>870</v>
      </c>
      <c r="H73" s="118">
        <f t="shared" si="42"/>
        <v>-4061</v>
      </c>
      <c r="I73" s="118">
        <f t="shared" si="42"/>
        <v>-3567</v>
      </c>
      <c r="J73" s="118">
        <v>-3567.0</v>
      </c>
      <c r="K73" s="118">
        <v>-3567.0</v>
      </c>
      <c r="L73" s="118">
        <v>-3567.0</v>
      </c>
      <c r="M73" s="118">
        <v>-3567.0</v>
      </c>
      <c r="N73" s="118">
        <v>-3567.0</v>
      </c>
      <c r="O73" s="116"/>
      <c r="P73" s="3"/>
      <c r="Q73" s="3"/>
      <c r="R73" s="3"/>
      <c r="S73" s="3"/>
      <c r="T73" s="3"/>
      <c r="U73" s="3"/>
      <c r="V73" s="3"/>
      <c r="W73" s="3"/>
      <c r="X73" s="3"/>
      <c r="Y73" s="3"/>
      <c r="Z73" s="3"/>
    </row>
    <row r="74" ht="15.75" customHeight="1">
      <c r="A74" s="2"/>
      <c r="B74" s="128"/>
      <c r="C74" s="128"/>
      <c r="D74" s="128"/>
      <c r="E74" s="128"/>
      <c r="F74" s="128"/>
      <c r="G74" s="128"/>
      <c r="H74" s="128"/>
      <c r="I74" s="128"/>
      <c r="J74" s="8"/>
      <c r="K74" s="8"/>
      <c r="L74" s="8"/>
      <c r="M74" s="8"/>
      <c r="N74" s="8"/>
      <c r="O74" s="98"/>
      <c r="P74" s="8"/>
      <c r="Q74" s="8"/>
      <c r="R74" s="8"/>
      <c r="S74" s="8"/>
      <c r="T74" s="8"/>
      <c r="U74" s="8"/>
      <c r="V74" s="8"/>
      <c r="W74" s="8"/>
      <c r="X74" s="8"/>
      <c r="Y74" s="8"/>
      <c r="Z74" s="8"/>
    </row>
    <row r="75" ht="15.75" customHeight="1">
      <c r="A75" s="2"/>
      <c r="B75" s="2"/>
      <c r="C75" s="2"/>
      <c r="D75" s="2"/>
      <c r="E75" s="2"/>
      <c r="F75" s="2"/>
      <c r="G75" s="2"/>
      <c r="H75" s="2"/>
      <c r="I75" s="2"/>
      <c r="J75" s="2"/>
      <c r="K75" s="2"/>
      <c r="L75" s="2"/>
      <c r="M75" s="2"/>
      <c r="N75" s="2"/>
      <c r="O75" s="98"/>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98"/>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98"/>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98"/>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98"/>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98"/>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98"/>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98"/>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98"/>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98"/>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98"/>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98"/>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98"/>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98"/>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98"/>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98"/>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98"/>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98"/>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98"/>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98"/>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98"/>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98"/>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98"/>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98"/>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98"/>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98"/>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98"/>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98"/>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98"/>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98"/>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98"/>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98"/>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98"/>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98"/>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98"/>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98"/>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98"/>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98"/>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98"/>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98"/>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98"/>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98"/>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98"/>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98"/>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98"/>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98"/>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98"/>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98"/>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98"/>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98"/>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98"/>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98"/>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98"/>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98"/>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98"/>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98"/>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98"/>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98"/>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98"/>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98"/>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98"/>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98"/>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98"/>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98"/>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98"/>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98"/>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98"/>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98"/>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98"/>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98"/>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98"/>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98"/>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98"/>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98"/>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98"/>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98"/>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98"/>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98"/>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98"/>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98"/>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98"/>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98"/>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98"/>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98"/>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98"/>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98"/>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98"/>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98"/>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98"/>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98"/>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98"/>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98"/>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98"/>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98"/>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98"/>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98"/>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98"/>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98"/>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98"/>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98"/>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98"/>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98"/>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98"/>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98"/>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98"/>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98"/>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98"/>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98"/>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98"/>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98"/>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98"/>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98"/>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98"/>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98"/>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98"/>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98"/>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98"/>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98"/>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98"/>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98"/>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98"/>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98"/>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98"/>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98"/>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98"/>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98"/>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98"/>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98"/>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98"/>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98"/>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98"/>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98"/>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98"/>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98"/>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98"/>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98"/>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98"/>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98"/>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98"/>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98"/>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98"/>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98"/>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98"/>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98"/>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98"/>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98"/>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98"/>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98"/>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98"/>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98"/>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98"/>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98"/>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98"/>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98"/>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98"/>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98"/>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98"/>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98"/>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98"/>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98"/>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98"/>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98"/>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98"/>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98"/>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98"/>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98"/>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98"/>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98"/>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98"/>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98"/>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98"/>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98"/>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98"/>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98"/>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98"/>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98"/>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98"/>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98"/>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98"/>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98"/>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98"/>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98"/>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98"/>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98"/>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98"/>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98"/>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98"/>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98"/>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98"/>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98"/>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98"/>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98"/>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98"/>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98"/>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98"/>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98"/>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98"/>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98"/>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98"/>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98"/>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98"/>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98"/>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98"/>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98"/>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98"/>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98"/>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98"/>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98"/>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98"/>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98"/>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98"/>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98"/>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98"/>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98"/>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98"/>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98"/>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98"/>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98"/>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98"/>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98"/>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98"/>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98"/>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98"/>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98"/>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98"/>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98"/>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98"/>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98"/>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98"/>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98"/>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98"/>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98"/>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98"/>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98"/>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98"/>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98"/>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98"/>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98"/>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98"/>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98"/>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98"/>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98"/>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98"/>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98"/>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98"/>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98"/>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98"/>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98"/>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98"/>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98"/>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98"/>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98"/>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98"/>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98"/>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98"/>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98"/>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98"/>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98"/>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98"/>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98"/>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98"/>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98"/>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98"/>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98"/>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98"/>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98"/>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98"/>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98"/>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98"/>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98"/>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98"/>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98"/>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98"/>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98"/>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98"/>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98"/>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98"/>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98"/>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98"/>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98"/>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98"/>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98"/>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98"/>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98"/>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98"/>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98"/>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98"/>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98"/>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98"/>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98"/>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98"/>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98"/>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98"/>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98"/>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98"/>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98"/>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98"/>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98"/>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98"/>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98"/>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98"/>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98"/>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98"/>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98"/>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98"/>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98"/>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98"/>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98"/>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98"/>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98"/>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98"/>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98"/>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98"/>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98"/>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98"/>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98"/>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98"/>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98"/>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98"/>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98"/>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98"/>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98"/>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98"/>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98"/>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98"/>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98"/>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98"/>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98"/>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98"/>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98"/>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98"/>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98"/>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98"/>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98"/>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98"/>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98"/>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98"/>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98"/>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98"/>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98"/>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98"/>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98"/>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98"/>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98"/>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98"/>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98"/>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98"/>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98"/>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98"/>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98"/>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98"/>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98"/>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98"/>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98"/>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98"/>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98"/>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98"/>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98"/>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98"/>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98"/>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98"/>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98"/>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98"/>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98"/>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98"/>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98"/>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98"/>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98"/>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98"/>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98"/>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98"/>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98"/>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98"/>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98"/>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98"/>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98"/>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98"/>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98"/>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98"/>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98"/>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98"/>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98"/>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98"/>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98"/>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98"/>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98"/>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98"/>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98"/>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98"/>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98"/>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98"/>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98"/>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98"/>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98"/>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98"/>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98"/>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98"/>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98"/>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98"/>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98"/>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98"/>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98"/>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98"/>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98"/>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98"/>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98"/>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98"/>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98"/>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98"/>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98"/>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98"/>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98"/>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98"/>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98"/>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98"/>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98"/>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98"/>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98"/>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98"/>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98"/>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98"/>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98"/>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98"/>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98"/>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98"/>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98"/>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98"/>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98"/>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98"/>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98"/>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98"/>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98"/>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98"/>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98"/>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98"/>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98"/>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98"/>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98"/>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98"/>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98"/>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98"/>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98"/>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98"/>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98"/>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98"/>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98"/>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98"/>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98"/>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98"/>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98"/>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98"/>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98"/>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98"/>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98"/>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98"/>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98"/>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98"/>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98"/>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98"/>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98"/>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98"/>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98"/>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98"/>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98"/>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98"/>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98"/>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98"/>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98"/>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98"/>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98"/>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98"/>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98"/>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98"/>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98"/>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98"/>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98"/>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98"/>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98"/>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98"/>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98"/>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98"/>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98"/>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98"/>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98"/>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98"/>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98"/>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98"/>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98"/>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98"/>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98"/>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98"/>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98"/>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98"/>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98"/>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98"/>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98"/>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98"/>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98"/>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98"/>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98"/>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98"/>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98"/>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98"/>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98"/>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98"/>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98"/>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98"/>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98"/>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98"/>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98"/>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98"/>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98"/>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98"/>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98"/>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98"/>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98"/>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98"/>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98"/>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98"/>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98"/>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98"/>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98"/>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98"/>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98"/>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98"/>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98"/>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98"/>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98"/>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98"/>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98"/>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98"/>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98"/>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98"/>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98"/>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98"/>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98"/>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98"/>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98"/>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98"/>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98"/>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98"/>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98"/>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98"/>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98"/>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98"/>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98"/>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98"/>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98"/>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98"/>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98"/>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98"/>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98"/>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98"/>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98"/>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98"/>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98"/>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98"/>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98"/>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98"/>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98"/>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98"/>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98"/>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98"/>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98"/>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98"/>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98"/>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98"/>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98"/>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98"/>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98"/>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98"/>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98"/>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98"/>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98"/>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98"/>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98"/>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98"/>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98"/>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98"/>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98"/>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98"/>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98"/>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98"/>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98"/>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98"/>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98"/>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98"/>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98"/>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98"/>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98"/>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98"/>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98"/>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98"/>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98"/>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98"/>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98"/>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98"/>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98"/>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98"/>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98"/>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98"/>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98"/>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98"/>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98"/>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98"/>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98"/>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98"/>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98"/>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98"/>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98"/>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98"/>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98"/>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98"/>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98"/>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98"/>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98"/>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98"/>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98"/>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98"/>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98"/>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98"/>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98"/>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98"/>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98"/>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98"/>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98"/>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98"/>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98"/>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98"/>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98"/>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98"/>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98"/>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98"/>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98"/>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98"/>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98"/>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98"/>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98"/>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98"/>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98"/>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98"/>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98"/>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98"/>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98"/>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98"/>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98"/>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98"/>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98"/>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98"/>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98"/>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98"/>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98"/>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98"/>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98"/>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98"/>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98"/>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98"/>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98"/>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98"/>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98"/>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98"/>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98"/>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98"/>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98"/>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98"/>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98"/>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98"/>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98"/>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98"/>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98"/>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98"/>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98"/>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98"/>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98"/>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98"/>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98"/>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98"/>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98"/>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98"/>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98"/>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98"/>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98"/>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98"/>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98"/>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98"/>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98"/>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98"/>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98"/>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98"/>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98"/>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98"/>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98"/>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98"/>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98"/>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98"/>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98"/>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98"/>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98"/>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98"/>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98"/>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98"/>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98"/>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98"/>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98"/>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98"/>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98"/>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98"/>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98"/>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98"/>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98"/>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98"/>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98"/>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98"/>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98"/>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98"/>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98"/>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98"/>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98"/>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98"/>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98"/>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98"/>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98"/>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98"/>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98"/>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98"/>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98"/>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98"/>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98"/>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98"/>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98"/>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98"/>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98"/>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98"/>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98"/>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98"/>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98"/>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98"/>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98"/>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98"/>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98"/>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98"/>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98"/>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98"/>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98"/>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98"/>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98"/>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98"/>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98"/>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98"/>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98"/>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98"/>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98"/>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98"/>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98"/>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98"/>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98"/>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98"/>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98"/>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98"/>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98"/>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98"/>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98"/>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98"/>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98"/>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98"/>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98"/>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98"/>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98"/>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98"/>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98"/>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98"/>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98"/>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98"/>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98"/>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98"/>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98"/>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98"/>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98"/>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98"/>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98"/>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98"/>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98"/>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98"/>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98"/>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98"/>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98"/>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98"/>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98"/>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98"/>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98"/>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98"/>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98"/>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98"/>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98"/>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98"/>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98"/>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98"/>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98"/>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98"/>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98"/>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98"/>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98"/>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98"/>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98"/>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98"/>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98"/>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98"/>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98"/>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98"/>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98"/>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98"/>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98"/>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98"/>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98"/>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98"/>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98"/>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98"/>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98"/>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98"/>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98"/>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98"/>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98"/>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98"/>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98"/>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98"/>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98"/>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98"/>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98"/>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98"/>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98"/>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98"/>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98"/>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98"/>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98"/>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98"/>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98"/>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98"/>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98"/>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98"/>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98"/>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98"/>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98"/>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98"/>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98"/>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98"/>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98"/>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98"/>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98"/>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98"/>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98"/>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98"/>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98"/>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98"/>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98"/>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98"/>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98"/>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98"/>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98"/>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98"/>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98"/>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98"/>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98"/>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98"/>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98"/>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98"/>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98"/>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98"/>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98"/>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98"/>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98"/>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98"/>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98"/>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98"/>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98"/>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98"/>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98"/>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98"/>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98"/>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98"/>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98"/>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98"/>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98"/>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98"/>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98"/>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98"/>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98"/>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98"/>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98"/>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98"/>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98"/>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98"/>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98"/>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98"/>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98"/>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98"/>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98"/>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98"/>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98"/>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98"/>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98"/>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98"/>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98"/>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98"/>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98"/>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98"/>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98"/>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98"/>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98"/>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98"/>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98"/>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98"/>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98"/>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98"/>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98"/>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98"/>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98"/>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98"/>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98"/>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98"/>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98"/>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98"/>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98"/>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98"/>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98"/>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98"/>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98"/>
      <c r="P1000" s="2"/>
      <c r="Q1000" s="2"/>
      <c r="R1000" s="2"/>
      <c r="S1000" s="2"/>
      <c r="T1000" s="2"/>
      <c r="U1000" s="2"/>
      <c r="V1000" s="2"/>
      <c r="W1000" s="2"/>
      <c r="X1000" s="2"/>
      <c r="Y1000" s="2"/>
      <c r="Z1000" s="2"/>
    </row>
    <row r="1001" ht="15.75" customHeight="1">
      <c r="A1001" s="2"/>
      <c r="B1001" s="2"/>
      <c r="C1001" s="2"/>
      <c r="D1001" s="2"/>
      <c r="E1001" s="2"/>
      <c r="F1001" s="2"/>
      <c r="G1001" s="2"/>
      <c r="H1001" s="2"/>
      <c r="I1001" s="2"/>
      <c r="J1001" s="2"/>
      <c r="K1001" s="2"/>
      <c r="L1001" s="2"/>
      <c r="M1001" s="2"/>
      <c r="N1001" s="2"/>
      <c r="O1001" s="98"/>
      <c r="P1001" s="2"/>
      <c r="Q1001" s="2"/>
      <c r="R1001" s="2"/>
      <c r="S1001" s="2"/>
      <c r="T1001" s="2"/>
      <c r="U1001" s="2"/>
      <c r="V1001" s="2"/>
      <c r="W1001" s="2"/>
      <c r="X1001" s="2"/>
      <c r="Y1001" s="2"/>
      <c r="Z1001" s="2"/>
    </row>
    <row r="1002" ht="15.75" customHeight="1">
      <c r="A1002" s="2"/>
      <c r="B1002" s="2"/>
      <c r="C1002" s="2"/>
      <c r="D1002" s="2"/>
      <c r="E1002" s="2"/>
      <c r="F1002" s="2"/>
      <c r="G1002" s="2"/>
      <c r="H1002" s="2"/>
      <c r="I1002" s="2"/>
      <c r="J1002" s="2"/>
      <c r="K1002" s="2"/>
      <c r="L1002" s="2"/>
      <c r="M1002" s="2"/>
      <c r="N1002" s="2"/>
      <c r="O1002" s="98"/>
      <c r="P1002" s="2"/>
      <c r="Q1002" s="2"/>
      <c r="R1002" s="2"/>
      <c r="S1002" s="2"/>
      <c r="T1002" s="2"/>
      <c r="U1002" s="2"/>
      <c r="V1002" s="2"/>
      <c r="W1002" s="2"/>
      <c r="X1002" s="2"/>
      <c r="Y1002" s="2"/>
      <c r="Z1002" s="2"/>
    </row>
    <row r="1003" ht="15.75" customHeight="1">
      <c r="A1003" s="2"/>
      <c r="B1003" s="2"/>
      <c r="C1003" s="2"/>
      <c r="D1003" s="2"/>
      <c r="E1003" s="2"/>
      <c r="F1003" s="2"/>
      <c r="G1003" s="2"/>
      <c r="H1003" s="2"/>
      <c r="I1003" s="2"/>
      <c r="J1003" s="2"/>
      <c r="K1003" s="2"/>
      <c r="L1003" s="2"/>
      <c r="M1003" s="2"/>
      <c r="N1003" s="2"/>
      <c r="O1003" s="98"/>
      <c r="P1003" s="2"/>
      <c r="Q1003" s="2"/>
      <c r="R1003" s="2"/>
      <c r="S1003" s="2"/>
      <c r="T1003" s="2"/>
      <c r="U1003" s="2"/>
      <c r="V1003" s="2"/>
      <c r="W1003" s="2"/>
      <c r="X1003" s="2"/>
      <c r="Y1003" s="2"/>
      <c r="Z1003" s="2"/>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