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"/>
    </mc:Choice>
  </mc:AlternateContent>
  <xr:revisionPtr revIDLastSave="0" documentId="13_ncr:1_{3FD42F49-F716-C048-8312-3E26B32464C6}" xr6:coauthVersionLast="47" xr6:coauthVersionMax="47" xr10:uidLastSave="{00000000-0000-0000-0000-000000000000}"/>
  <bookViews>
    <workbookView xWindow="1800" yWindow="740" windowWidth="29160" windowHeight="148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7" i="3" l="1"/>
  <c r="B223" i="3"/>
  <c r="B219" i="3"/>
  <c r="B214" i="3"/>
  <c r="B210" i="3"/>
  <c r="B206" i="3"/>
  <c r="B201" i="3"/>
  <c r="B197" i="3"/>
  <c r="B193" i="3"/>
  <c r="B188" i="3"/>
  <c r="B184" i="3"/>
  <c r="B180" i="3"/>
  <c r="B175" i="3"/>
  <c r="B171" i="3"/>
  <c r="B167" i="3"/>
  <c r="B162" i="3"/>
  <c r="B158" i="3"/>
  <c r="B154" i="3"/>
  <c r="B149" i="3"/>
  <c r="B145" i="3"/>
  <c r="B141" i="3"/>
  <c r="B136" i="3"/>
  <c r="B132" i="3"/>
  <c r="B128" i="3"/>
  <c r="D51" i="3"/>
  <c r="D50" i="3" s="1"/>
  <c r="E51" i="3"/>
  <c r="E50" i="3" s="1"/>
  <c r="C51" i="3"/>
  <c r="C50" i="3" s="1"/>
  <c r="D49" i="3"/>
  <c r="E49" i="3"/>
  <c r="C49" i="3"/>
  <c r="D48" i="3"/>
  <c r="E48" i="3"/>
  <c r="C48" i="3"/>
  <c r="D47" i="3"/>
  <c r="E47" i="3"/>
  <c r="C47" i="3"/>
  <c r="E46" i="3"/>
  <c r="D46" i="3"/>
  <c r="C46" i="3"/>
  <c r="D44" i="3"/>
  <c r="E44" i="3"/>
  <c r="C44" i="3"/>
  <c r="D45" i="3"/>
  <c r="E45" i="3"/>
  <c r="C45" i="3"/>
  <c r="D42" i="3"/>
  <c r="E42" i="3"/>
  <c r="C42" i="3"/>
  <c r="D43" i="3"/>
  <c r="E43" i="3"/>
  <c r="C43" i="3"/>
  <c r="D41" i="3"/>
  <c r="E41" i="3"/>
  <c r="C41" i="3"/>
  <c r="E40" i="3"/>
  <c r="D40" i="3"/>
  <c r="C40" i="3"/>
  <c r="D37" i="3"/>
  <c r="E37" i="3"/>
  <c r="C37" i="3"/>
  <c r="E10" i="3"/>
  <c r="E9" i="3"/>
  <c r="E12" i="3" s="1"/>
  <c r="E36" i="3"/>
  <c r="D36" i="3"/>
  <c r="C36" i="3"/>
  <c r="D35" i="3"/>
  <c r="E35" i="3"/>
  <c r="C35" i="3"/>
  <c r="D34" i="3"/>
  <c r="E34" i="3"/>
  <c r="C34" i="3"/>
  <c r="D30" i="3"/>
  <c r="D31" i="3"/>
  <c r="E31" i="3"/>
  <c r="E30" i="3" s="1"/>
  <c r="C31" i="3"/>
  <c r="C30" i="3" s="1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8" i="3" s="1"/>
  <c r="E21" i="3"/>
  <c r="E20" i="3" s="1"/>
  <c r="C21" i="3"/>
  <c r="C20" i="3" s="1"/>
  <c r="D19" i="3"/>
  <c r="D18" i="3" s="1"/>
  <c r="E19" i="3"/>
  <c r="E29" i="3" s="1"/>
  <c r="C19" i="3"/>
  <c r="C18" i="3" s="1"/>
  <c r="D17" i="3"/>
  <c r="E17" i="3"/>
  <c r="C17" i="3"/>
  <c r="C13" i="3"/>
  <c r="D14" i="3"/>
  <c r="D13" i="3" s="1"/>
  <c r="E14" i="3"/>
  <c r="E13" i="3" s="1"/>
  <c r="C14" i="3"/>
  <c r="D11" i="3"/>
  <c r="E11" i="3"/>
  <c r="C11" i="3"/>
  <c r="D10" i="3"/>
  <c r="C10" i="3"/>
  <c r="D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29" i="3" l="1"/>
  <c r="C12" i="3"/>
  <c r="D20" i="3"/>
  <c r="D12" i="3"/>
  <c r="E18" i="3"/>
  <c r="D29" i="3"/>
  <c r="C28" i="3"/>
  <c r="E28" i="3"/>
  <c r="D68" i="1"/>
  <c r="C68" i="1"/>
  <c r="B68" i="1"/>
  <c r="D61" i="1"/>
  <c r="C61" i="1"/>
  <c r="B61" i="1"/>
  <c r="D56" i="1"/>
  <c r="C56" i="1"/>
  <c r="B56" i="1"/>
  <c r="D47" i="1"/>
  <c r="C47" i="1"/>
  <c r="B47" i="1"/>
  <c r="B48" i="1" s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C62" i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<sst xmlns="http://schemas.openxmlformats.org/spreadsheetml/2006/main" count="219" uniqueCount="174">
  <si>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</si>
  <si>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</si>
  <si>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</si>
  <si>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</si>
  <si>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</si>
  <si>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</si>
  <si>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</si>
  <si>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</si>
  <si>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</si>
  <si>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</si>
  <si>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</si>
  <si>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</si>
  <si>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</si>
  <si>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</si>
  <si>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</si>
  <si>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</si>
  <si>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</si>
  <si>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</si>
  <si>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</si>
  <si>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</si>
  <si>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</si>
  <si>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</si>
  <si>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</si>
  <si>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</si>
  <si>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</si>
  <si>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</si>
  <si>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</si>
  <si>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</si>
  <si>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</si>
  <si>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</si>
  <si>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</si>
  <si>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</si>
  <si>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</si>
  <si>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</si>
  <si>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</si>
  <si>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</si>
  <si>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</si>
  <si>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</si>
  <si>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</si>
  <si>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</si>
  <si>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</si>
  <si>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</si>
  <si>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</si>
  <si>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</si>
  <si>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</si>
  <si>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</si>
  <si>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</si>
  <si>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</si>
  <si>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</si>
  <si>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</si>
  <si>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</si>
  <si>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</si>
  <si>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</si>
  <si>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</si>
  <si>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</si>
  <si>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</si>
  <si>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</si>
  <si>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</si>
  <si>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</si>
  <si>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</si>
  <si>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</si>
  <si>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</si>
  <si>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</si>
  <si>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</si>
  <si>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</si>
  <si>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</si>
  <si>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</si>
  <si>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</si>
  <si>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</si>
  <si>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</si>
  <si>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</si>
  <si>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</si>
  <si>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</si>
  <si>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</si>
  <si>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</si>
  <si>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</si>
  <si>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</si>
  <si>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</si>
  <si>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</si>
  <si>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</si>
  <si>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</si>
  <si>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</si>
  <si>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</si>
  <si>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</si>
  <si>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</si>
  <si>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</si>
  <si>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</si>
  <si>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</si>
  <si>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</si>
  <si>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</si>
  <si>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</si>
  <si>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</si>
  <si>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</si>
  <si>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</si>
  <si>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</si>
  <si>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</si>
  <si>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</si>
  <si>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</si>
  <si>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</si>
  <si>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</si>
  <si>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</si>
  <si>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</si>
  <si>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</si>
  <si>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</si>
  <si>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</si>
  <si>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</si>
  <si>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</si>
  <si>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</si>
  <si>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</si>
  <si>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</si>
  <si>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</si>
  <si>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</si>
  <si>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</si>
  <si>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</si>
  <si>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</si>
  <si>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</si>
  <si>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</si>
  <si>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</si>
  <si>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</si>
  <si>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</si>
  <si>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</si>
  <si>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</si>
  <si>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</si>
  <si>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</si>
  <si>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</si>
  <si>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</si>
  <si>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</si>
  <si>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</si>
  <si>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</si>
  <si>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</si>
  <si>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</si>
  <si>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</si>
  <si>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</si>
  <si>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</si>
  <si>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</si>
  <si>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</si>
  <si>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</si>
  <si>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</si>
  <si>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</si>
  <si>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</si>
  <si>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</si>
  <si>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</si>
  <si>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</si>
  <si>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</si>
  <si>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</si>
  <si>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</si>
  <si>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</si>
  <si>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</si>
  <si>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</si>
  <si>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</si>
  <si>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Products Sales:</t>
  </si>
  <si>
    <t>2022 vs. 2021:</t>
  </si>
  <si>
    <t>2021 vs. 2020:</t>
  </si>
  <si>
    <t>Services Sales:</t>
  </si>
  <si>
    <t>Net Sales:</t>
  </si>
  <si>
    <t>Growth Rate = (316,199−297,392)/297,392 × 100% = 6.32%</t>
  </si>
  <si>
    <t>Growth Rate = (297,392−220,747)/220,747 × 100% = 34.72%</t>
  </si>
  <si>
    <t>Growth Rate= (78,129−68,425)/68,425 × 100% = 14.18%</t>
  </si>
  <si>
    <t>Growth Rate= (68,425−53,768)/53,768 × 100% = 27.26%</t>
  </si>
  <si>
    <t>Growth Rate= (394,328−365,817)/365,817 × 100% = 7.79%</t>
  </si>
  <si>
    <t>Growth Rate= (365,817−274,515)/274,515 × 100% = 33.26%</t>
  </si>
  <si>
    <t>Growth Rate = (170,782−152,836)/152,836 × 100% = 11.74%</t>
  </si>
  <si>
    <t>Growth Rate = (152,836−104,956)/104,956 × 100% = 45.62%</t>
  </si>
  <si>
    <t>Research and Development:</t>
  </si>
  <si>
    <t>Selling, General and Administrative:</t>
  </si>
  <si>
    <t>Growth Rate = (26,251−21,914)/21,914 × 100% = 19.79%</t>
  </si>
  <si>
    <t>Growth Rate = (21,914−18,752)/18,752 × 100% = 16.86%</t>
  </si>
  <si>
    <t>Growth Rate=(25,094−21,973)/21,973 x 100% = 14.20%</t>
  </si>
  <si>
    <t>Growth Rate=(21,973−19,916)/19,916 x 100% = 10.33%</t>
  </si>
  <si>
    <t>Current Assets: 0.4% (2022), -6.2% (2021)</t>
  </si>
  <si>
    <t>Total Assets: 0.5% (2022), 8.4% (2021)</t>
  </si>
  <si>
    <t>Current Liabilities: 22.7% (2022), 19.1% (2021)</t>
  </si>
  <si>
    <t>Total Liabilities: 4.9% (2022), 11.4% (2021)</t>
  </si>
  <si>
    <t>Shareholders' Equity: -19.8% (2022), -3.4%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</si>
</sst>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1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1" fontId="0" fillId="0" borderId="0" xfId="0" applyNumberFormat="1"/>
    <xf numFmtId="2" fontId="0" fillId="0" borderId="0" xfId="0" applyNumberFormat="1"/>
    <xf numFmtId="10" fontId="0" fillId="0" borderId="0" xfId="0" applyNumberFormat="1"/>
    <xf numFmtId="43" fontId="0" fillId="0" borderId="0" xfId="0" applyNumberFormat="1"/>
    <xf numFmtId="0" fontId="8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30" zoomScaleNormal="130" workbookViewId="0">
      <selection activeCell="A180" sqref="A180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1" workbookViewId="0">
      <selection activeCell="B113" sqref="B113:B11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7"/>
  <sheetViews>
    <sheetView tabSelected="1" topLeftCell="A197" zoomScale="117" zoomScaleNormal="120" workbookViewId="0">
      <selection activeCell="C5" sqref="C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9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6">
        <f>('Financial Statements'!B36+'Financial Statements'!B37+'Financial Statements'!B38)/('Financial Statements'!B17/365)</f>
        <v>543.73590417762193</v>
      </c>
      <c r="D8" s="26">
        <f>('Financial Statements'!C36+'Financial Statements'!C37+'Financial Statements'!C38)/('Financial Statements'!C17/365)</f>
        <v>739.50611798482464</v>
      </c>
      <c r="E8" s="26">
        <f>('Financial Statements'!D36+'Financial Statements'!D37+'Financial Statements'!D38)/('Financial Statements'!D17/365)</f>
        <v>1010.6029533464364</v>
      </c>
    </row>
    <row r="9" spans="1:10" x14ac:dyDescent="0.2">
      <c r="A9" s="18">
        <f t="shared" si="0"/>
        <v>1.5000000000000004</v>
      </c>
      <c r="B9" s="1" t="s">
        <v>104</v>
      </c>
      <c r="C9" s="25">
        <f>(('Financial Statements'!B39+'Financial Statements'!C39)/2/'Financial Statements'!B12)*365</f>
        <v>9.4096740715557434</v>
      </c>
      <c r="D9" s="25">
        <f>(('Financial Statements'!C39+'Financial Statements'!D39)/2/'Financial Statements'!C12)*365</f>
        <v>9.1181020842234748</v>
      </c>
      <c r="E9" s="25">
        <f>(('Financial Statements'!D39/'Financial Statements'!D12)*365)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6">
        <f>(('Financial Statements'!C51+'Financial Statements'!B51)/2/'Financial Statements'!B12)*365</f>
        <v>97.050428099809452</v>
      </c>
      <c r="D10" s="26">
        <f>(('Financial Statements'!D51+'Financial Statements'!C51)/2/'Financial Statements'!C12)*365</f>
        <v>83.168299050150011</v>
      </c>
      <c r="E10" s="26">
        <f>(('Financial Statements'!D40))/'Financial Statements'!D13*365</f>
        <v>74.160838827699223</v>
      </c>
    </row>
    <row r="11" spans="1:10" x14ac:dyDescent="0.2">
      <c r="A11" s="18">
        <f t="shared" si="0"/>
        <v>1.7000000000000006</v>
      </c>
      <c r="B11" s="1" t="s">
        <v>106</v>
      </c>
      <c r="C11" s="26">
        <f>(('Financial Statements'!C38+'Financial Statements'!B38)/2/'Financial Statements'!B8)*365</f>
        <v>25.205704388225033</v>
      </c>
      <c r="D11" s="26">
        <f>(('Financial Statements'!D38+'Financial Statements'!C38)/2/'Financial Statements'!C8)*365</f>
        <v>21.151655062503931</v>
      </c>
      <c r="E11" s="26">
        <f>(('Financial Statements'!E38+'Financial Statements'!D38)/2/'Financial Statements'!D8)*365</f>
        <v>10.716718576398375</v>
      </c>
    </row>
    <row r="12" spans="1:10" x14ac:dyDescent="0.2">
      <c r="A12" s="18">
        <f t="shared" si="0"/>
        <v>1.8000000000000007</v>
      </c>
      <c r="B12" s="1" t="s">
        <v>107</v>
      </c>
      <c r="C12" s="26">
        <f>(C9+C11)-C10</f>
        <v>-62.435049640028673</v>
      </c>
      <c r="D12" s="26">
        <f t="shared" ref="D12:E12" si="1">(D9+D11)-D10</f>
        <v>-52.898541903422604</v>
      </c>
      <c r="E12" s="26">
        <f t="shared" si="1"/>
        <v>-54.702236895064964</v>
      </c>
    </row>
    <row r="13" spans="1:10" x14ac:dyDescent="0.2">
      <c r="A13" s="18">
        <f t="shared" si="0"/>
        <v>1.9000000000000008</v>
      </c>
      <c r="B13" s="1" t="s">
        <v>108</v>
      </c>
      <c r="C13" s="27">
        <f>(C14/'Financial Statements'!B8)</f>
        <v>-4.711052727678481E-2</v>
      </c>
      <c r="D13" s="27">
        <f>(D14/'Financial Statements'!C8)</f>
        <v>2.557289573748623E-2</v>
      </c>
      <c r="E13" s="27">
        <f>(E14/'Financial Statements'!D8)</f>
        <v>0.13959528623208203</v>
      </c>
    </row>
    <row r="14" spans="1:10" x14ac:dyDescent="0.2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0" x14ac:dyDescent="0.2">
      <c r="A15" s="18"/>
      <c r="D15" s="26"/>
      <c r="E15" s="26"/>
    </row>
    <row r="16" spans="1:10" x14ac:dyDescent="0.2">
      <c r="A16" s="18">
        <f>+A4+1</f>
        <v>2</v>
      </c>
      <c r="B16" s="17" t="s">
        <v>110</v>
      </c>
      <c r="D16" s="26"/>
      <c r="E16" s="26"/>
    </row>
    <row r="17" spans="1:5" x14ac:dyDescent="0.2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7">
        <f>C19/'Financial Statements'!B8</f>
        <v>0.35396674849363979</v>
      </c>
      <c r="D18" s="27">
        <f>D19/'Financial Statements'!C8</f>
        <v>0.35028169822616229</v>
      </c>
      <c r="E18" s="27">
        <f>E19/'Financial Statements'!D8</f>
        <v>0.30662441032366172</v>
      </c>
    </row>
    <row r="19" spans="1:5" x14ac:dyDescent="0.2">
      <c r="A19" s="18"/>
      <c r="B19" s="3" t="s">
        <v>112</v>
      </c>
      <c r="C19" s="12">
        <f>'Financial Statements'!B18+'Financial Statements'!B79+'Financial Statements'!B80</f>
        <v>139579</v>
      </c>
      <c r="D19" s="12">
        <f>'Financial Statements'!C18+'Financial Statements'!C79+'Financial Statements'!C80</f>
        <v>128139</v>
      </c>
      <c r="E19" s="12">
        <f>'Financial Statements'!D18+'Financial Statements'!D79+'Financial Statements'!D80</f>
        <v>84173</v>
      </c>
    </row>
    <row r="20" spans="1:5" x14ac:dyDescent="0.2">
      <c r="A20" s="18">
        <f>+A18+0.1</f>
        <v>2.3000000000000003</v>
      </c>
      <c r="B20" s="1" t="s">
        <v>113</v>
      </c>
      <c r="C20" s="27">
        <f>C21/'Financial Statements'!B8</f>
        <v>0.30288744395528594</v>
      </c>
      <c r="D20" s="27">
        <f>D21/'Financial Statements'!C8</f>
        <v>0.29782377527561593</v>
      </c>
      <c r="E20" s="27">
        <f>E21/'Financial Statements'!D8</f>
        <v>0.24147314354406862</v>
      </c>
    </row>
    <row r="21" spans="1:5" x14ac:dyDescent="0.2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 s="25">
        <f>'Financial Statements'!B59/('Financial Statements'!B59+'Financial Statements'!B68)</f>
        <v>0.66135359651409131</v>
      </c>
      <c r="D27" s="25">
        <f>'Financial Statements'!C59/('Financial Statements'!C59+'Financial Statements'!C68)</f>
        <v>0.63361518269878514</v>
      </c>
      <c r="E27" s="25">
        <f>'Financial Statements'!D59/('Financial Statements'!D59+'Financial Statements'!D68)</f>
        <v>0.60160603880345842</v>
      </c>
    </row>
    <row r="28" spans="1:5" x14ac:dyDescent="0.2">
      <c r="A28" s="18">
        <f t="shared" si="2"/>
        <v>3.4000000000000004</v>
      </c>
      <c r="B28" s="1" t="s">
        <v>120</v>
      </c>
      <c r="C28" s="28">
        <f>C21/'Financial Statements'!B114</f>
        <v>41.68830715532286</v>
      </c>
      <c r="D28" s="28">
        <f>D21/'Financial Statements'!C114</f>
        <v>40.546706363974693</v>
      </c>
      <c r="E28" s="28">
        <f>E21/'Financial Statements'!D114</f>
        <v>22.081279147235175</v>
      </c>
    </row>
    <row r="29" spans="1:5" x14ac:dyDescent="0.2">
      <c r="A29" s="18">
        <f t="shared" si="2"/>
        <v>3.5000000000000004</v>
      </c>
      <c r="B29" s="1" t="s">
        <v>121</v>
      </c>
      <c r="C29" s="28">
        <f>C19/('Financial Statements'!B54+'Financial Statements'!B55+'Financial Statements'!B59)</f>
        <v>1.1624899016398904</v>
      </c>
      <c r="D29" s="28">
        <f>D19/('Financial Statements'!C54+'Financial Statements'!C55+'Financial Statements'!C59)</f>
        <v>1.0274216438553869</v>
      </c>
      <c r="E29" s="28">
        <f>E19/('Financial Statements'!D54+'Financial Statements'!D55+'Financial Statements'!D59)</f>
        <v>0.74863033192216011</v>
      </c>
    </row>
    <row r="30" spans="1:5" x14ac:dyDescent="0.2">
      <c r="A30" s="18">
        <f t="shared" si="2"/>
        <v>3.6000000000000005</v>
      </c>
      <c r="B30" s="1" t="s">
        <v>122</v>
      </c>
      <c r="C30" s="28">
        <f>(C31/'Financial Statements'!B27)*1000</f>
        <v>6.8724256462598001</v>
      </c>
      <c r="D30" s="28">
        <f>(D31/'Financial Statements'!C27)*1000</f>
        <v>5.56562398361035</v>
      </c>
      <c r="E30" s="28">
        <f>(E31/'Financial Statements'!D27)*1000</f>
        <v>4.2280138811864996</v>
      </c>
    </row>
    <row r="31" spans="1:5" x14ac:dyDescent="0.2">
      <c r="A31" s="18"/>
      <c r="B31" s="3" t="s">
        <v>123</v>
      </c>
      <c r="C31" s="12">
        <f>'Financial Statements'!B91-(-'Financial Statements'!B96)</f>
        <v>111443</v>
      </c>
      <c r="D31" s="12">
        <f>'Financial Statements'!C91-(-'Financial Statements'!C96)</f>
        <v>92953</v>
      </c>
      <c r="E31" s="12">
        <f>'Financial Statements'!D91-(-'Financial Statements'!D96)</f>
        <v>73365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8">
        <f>'Financial Statements'!B8/'Financial Statements'!B48</f>
        <v>1.1178523337727317</v>
      </c>
      <c r="D34" s="28">
        <f>'Financial Statements'!C8/'Financial Statements'!C48</f>
        <v>1.0422077367080529</v>
      </c>
      <c r="E34" s="28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8">
        <f>'Financial Statements'!B8/'Financial Statements'!B45</f>
        <v>9.3626801529073767</v>
      </c>
      <c r="D35" s="28">
        <f>'Financial Statements'!C8/'Financial Statements'!C45</f>
        <v>9.2752789046653152</v>
      </c>
      <c r="E35" s="28">
        <f>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 s="26">
        <f>'Financial Statements'!B12/(('Financial Statements'!B39+'Financial Statements'!C39)/2)</f>
        <v>38.789866389033492</v>
      </c>
      <c r="D36" s="26">
        <f>'Financial Statements'!C12/(('Financial Statements'!C39+'Financial Statements'!D39)/2)</f>
        <v>40.030260313880277</v>
      </c>
      <c r="E36" s="26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6">
        <f>100/'Financial Statements'!B25</f>
        <v>16.366612111292962</v>
      </c>
      <c r="D40" s="26">
        <f>80/'Financial Statements'!C25</f>
        <v>14.260249554367201</v>
      </c>
      <c r="E40" s="26">
        <f>60/'Financial Statements'!D25</f>
        <v>18.292682926829269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SUM('Financial Statements'!B24:B25)</f>
        <v>12.260000000000002</v>
      </c>
      <c r="D41">
        <f>SUM('Financial Statements'!C24:C25)</f>
        <v>11.280000000000001</v>
      </c>
      <c r="E41">
        <f>SUM('Financial Statements'!D24:D25)</f>
        <v>6.59</v>
      </c>
    </row>
    <row r="42" spans="1:5" x14ac:dyDescent="0.2">
      <c r="A42" s="18">
        <f t="shared" si="4"/>
        <v>5.2999999999999989</v>
      </c>
      <c r="B42" s="1" t="s">
        <v>132</v>
      </c>
      <c r="C42" s="18">
        <f>(100/C43)</f>
        <v>32.001821518787501</v>
      </c>
      <c r="D42" s="18">
        <f t="shared" ref="D42:E42" si="5">(100/D43)</f>
        <v>26.472138215248059</v>
      </c>
      <c r="E42" s="18">
        <f t="shared" si="5"/>
        <v>26.557062397649183</v>
      </c>
    </row>
    <row r="43" spans="1:5" x14ac:dyDescent="0.2">
      <c r="A43" s="18">
        <f t="shared" si="4"/>
        <v>5.3999999999999986</v>
      </c>
      <c r="B43" s="3" t="s">
        <v>133</v>
      </c>
      <c r="C43" s="26">
        <f>('Financial Statements'!B68/'Financial Statements'!B27)*1000</f>
        <v>3.124822127430853</v>
      </c>
      <c r="D43" s="26">
        <f>('Financial Statements'!C68/'Financial Statements'!C27)*1000</f>
        <v>3.7775565837141025</v>
      </c>
      <c r="E43" s="26">
        <f>('Financial Statements'!D68/'Financial Statements'!D27)*1000</f>
        <v>3.765476712094932</v>
      </c>
    </row>
    <row r="44" spans="1:5" x14ac:dyDescent="0.2">
      <c r="A44" s="18">
        <f t="shared" si="4"/>
        <v>5.4999999999999982</v>
      </c>
      <c r="B44" s="1" t="s">
        <v>134</v>
      </c>
      <c r="C44" s="25">
        <f>-'Financial Statements'!B102/'Financial Statements'!B76</f>
        <v>0.14870294480125848</v>
      </c>
      <c r="D44" s="25">
        <f>-'Financial Statements'!C102/'Financial Statements'!C76</f>
        <v>0.15279890156316012</v>
      </c>
      <c r="E44" s="25">
        <f>-'Financial Statements'!D102/'Financial Statements'!D76</f>
        <v>0.24526658654264863</v>
      </c>
    </row>
    <row r="45" spans="1:5" x14ac:dyDescent="0.2">
      <c r="A45" s="18"/>
      <c r="B45" s="3" t="s">
        <v>135</v>
      </c>
      <c r="C45" s="26">
        <f>(-'Financial Statements'!B102/'Financial Statements'!B27)*1000000</f>
        <v>915.20929099307887</v>
      </c>
      <c r="D45" s="26">
        <f>(-'Financial Statements'!C102/'Financial Statements'!C27)*1000000</f>
        <v>866.22144708498854</v>
      </c>
      <c r="E45" s="26">
        <f>(-'Financial Statements'!D102/'Financial Statements'!D27)*1000000</f>
        <v>811.4859055542438</v>
      </c>
    </row>
    <row r="46" spans="1:5" x14ac:dyDescent="0.2">
      <c r="A46" s="18">
        <f>+A44+0.1</f>
        <v>5.5999999999999979</v>
      </c>
      <c r="B46" s="1" t="s">
        <v>136</v>
      </c>
      <c r="C46" s="25">
        <f>C45/1000</f>
        <v>0.91520929099307891</v>
      </c>
      <c r="D46" s="25">
        <f>D45/800</f>
        <v>1.0827768088562357</v>
      </c>
      <c r="E46" s="25">
        <f>E45/600</f>
        <v>1.352476509257073</v>
      </c>
    </row>
    <row r="47" spans="1:5" x14ac:dyDescent="0.2">
      <c r="A47" s="18">
        <f t="shared" ref="A47:A50" si="6">+A45+0.1</f>
        <v>0.1</v>
      </c>
      <c r="B47" s="1" t="s">
        <v>137</v>
      </c>
      <c r="C47" s="26">
        <f>('Financial Statements'!B76)/('Financial Statements'!C68+'Financial Statements'!B68/2)</f>
        <v>1.128661253477484</v>
      </c>
      <c r="D47" s="26">
        <f>('Financial Statements'!C76)/('Financial Statements'!D68+'Financial Statements'!C68/2)</f>
        <v>0.97725114570001237</v>
      </c>
      <c r="E47" s="26">
        <f>('Financial Statements'!D76)/('Financial Statements'!E68+'Financial Statements'!D68/2)</f>
        <v>1.7573271706025497</v>
      </c>
    </row>
    <row r="48" spans="1:5" x14ac:dyDescent="0.2">
      <c r="A48" s="18">
        <f t="shared" si="6"/>
        <v>5.6999999999999975</v>
      </c>
      <c r="B48" s="1" t="s">
        <v>138</v>
      </c>
      <c r="C48" s="25">
        <f>'Financial Statements'!B18/('Financial Statements'!B48-'Financial Statements'!B56)</f>
        <v>0.60087134570590572</v>
      </c>
      <c r="D48" s="25">
        <f>'Financial Statements'!C18/('Financial Statements'!C48-'Financial Statements'!C56)</f>
        <v>0.48309913489209433</v>
      </c>
      <c r="E48" s="25">
        <f>'Financial Statements'!D18/('Financial Statements'!D48-'Financial Statements'!D56)</f>
        <v>0.30338312829525482</v>
      </c>
    </row>
    <row r="49" spans="1:5" x14ac:dyDescent="0.2">
      <c r="A49" s="18">
        <f t="shared" si="6"/>
        <v>0.2</v>
      </c>
      <c r="B49" s="1" t="s">
        <v>128</v>
      </c>
      <c r="C49" s="25">
        <f>('Financial Statements'!B22)/('Financial Statements'!C48+'Financial Statements'!B48/2)</f>
        <v>0.18924322997006898</v>
      </c>
      <c r="D49" s="25">
        <f>('Financial Statements'!C22)/('Financial Statements'!D48+'Financial Statements'!C48/2)</f>
        <v>0.18959168103422383</v>
      </c>
      <c r="E49" s="25">
        <f>('Financial Statements'!D22)/('Financial Statements'!E48+'Financial Statements'!D48/2)</f>
        <v>0.35451143605196861</v>
      </c>
    </row>
    <row r="50" spans="1:5" x14ac:dyDescent="0.2">
      <c r="A50" s="18">
        <f t="shared" si="6"/>
        <v>5.7999999999999972</v>
      </c>
      <c r="B50" s="1" t="s">
        <v>139</v>
      </c>
      <c r="C50" s="25">
        <f>C51/C19</f>
        <v>0.7162323845277585</v>
      </c>
      <c r="D50" s="25">
        <f t="shared" ref="D50:E50" si="7">D51/D19</f>
        <v>0.79495703884063396</v>
      </c>
      <c r="E50" s="25">
        <f t="shared" si="7"/>
        <v>1.3493400496596295</v>
      </c>
    </row>
    <row r="51" spans="1:5" x14ac:dyDescent="0.2">
      <c r="A51" s="18"/>
      <c r="B51" s="3" t="s">
        <v>140</v>
      </c>
      <c r="C51" s="12">
        <f>('Financial Statements'!B37+'Financial Statements'!B59)-'Financial Statements'!B36</f>
        <v>99971</v>
      </c>
      <c r="D51" s="12">
        <f>('Financial Statements'!C37+'Financial Statements'!C59)-'Financial Statements'!C36</f>
        <v>101865</v>
      </c>
      <c r="E51" s="12">
        <f>('Financial Statements'!D37+'Financial Statements'!D59)-'Financial Statements'!D36</f>
        <v>113578</v>
      </c>
    </row>
    <row r="54" spans="1:5" x14ac:dyDescent="0.2">
      <c r="A54">
        <v>1</v>
      </c>
      <c r="B54" s="1" t="s">
        <v>145</v>
      </c>
    </row>
    <row r="55" spans="1:5" ht="16" x14ac:dyDescent="0.2">
      <c r="B55" s="29" t="s">
        <v>150</v>
      </c>
    </row>
    <row r="57" spans="1:5" x14ac:dyDescent="0.2">
      <c r="B57" s="7" t="s">
        <v>151</v>
      </c>
    </row>
    <row r="59" spans="1:5" x14ac:dyDescent="0.2">
      <c r="B59" t="s">
        <v>155</v>
      </c>
    </row>
    <row r="61" spans="1:5" x14ac:dyDescent="0.2">
      <c r="B61" s="7" t="s">
        <v>152</v>
      </c>
    </row>
    <row r="63" spans="1:5" x14ac:dyDescent="0.2">
      <c r="B63" t="s">
        <v>156</v>
      </c>
    </row>
    <row r="65" spans="2:2" ht="16" x14ac:dyDescent="0.2">
      <c r="B65" s="29" t="s">
        <v>153</v>
      </c>
    </row>
    <row r="67" spans="2:2" x14ac:dyDescent="0.2">
      <c r="B67" s="7" t="s">
        <v>151</v>
      </c>
    </row>
    <row r="69" spans="2:2" x14ac:dyDescent="0.2">
      <c r="B69" t="s">
        <v>157</v>
      </c>
    </row>
    <row r="71" spans="2:2" x14ac:dyDescent="0.2">
      <c r="B71" s="7" t="s">
        <v>152</v>
      </c>
    </row>
    <row r="73" spans="2:2" x14ac:dyDescent="0.2">
      <c r="B73" t="s">
        <v>158</v>
      </c>
    </row>
    <row r="75" spans="2:2" ht="16" x14ac:dyDescent="0.2">
      <c r="B75" s="29" t="s">
        <v>154</v>
      </c>
    </row>
    <row r="77" spans="2:2" x14ac:dyDescent="0.2">
      <c r="B77" s="7" t="s">
        <v>151</v>
      </c>
    </row>
    <row r="79" spans="2:2" x14ac:dyDescent="0.2">
      <c r="B79" t="s">
        <v>159</v>
      </c>
    </row>
    <row r="81" spans="1:2" x14ac:dyDescent="0.2">
      <c r="B81" s="7" t="s">
        <v>152</v>
      </c>
    </row>
    <row r="83" spans="1:2" x14ac:dyDescent="0.2">
      <c r="B83" t="s">
        <v>160</v>
      </c>
    </row>
    <row r="85" spans="1:2" x14ac:dyDescent="0.2">
      <c r="A85">
        <v>2</v>
      </c>
      <c r="B85" s="1" t="s">
        <v>89</v>
      </c>
    </row>
    <row r="87" spans="1:2" x14ac:dyDescent="0.2">
      <c r="B87" s="7" t="s">
        <v>151</v>
      </c>
    </row>
    <row r="89" spans="1:2" x14ac:dyDescent="0.2">
      <c r="B89" t="s">
        <v>161</v>
      </c>
    </row>
    <row r="91" spans="1:2" x14ac:dyDescent="0.2">
      <c r="B91" s="7" t="s">
        <v>152</v>
      </c>
    </row>
    <row r="93" spans="1:2" x14ac:dyDescent="0.2">
      <c r="B93" t="s">
        <v>162</v>
      </c>
    </row>
    <row r="95" spans="1:2" x14ac:dyDescent="0.2">
      <c r="A95">
        <v>3</v>
      </c>
      <c r="B95" s="1" t="s">
        <v>90</v>
      </c>
    </row>
    <row r="97" spans="2:2" ht="16" x14ac:dyDescent="0.2">
      <c r="B97" s="29" t="s">
        <v>163</v>
      </c>
    </row>
    <row r="99" spans="2:2" x14ac:dyDescent="0.2">
      <c r="B99" s="7" t="s">
        <v>151</v>
      </c>
    </row>
    <row r="101" spans="2:2" x14ac:dyDescent="0.2">
      <c r="B101" t="s">
        <v>165</v>
      </c>
    </row>
    <row r="103" spans="2:2" x14ac:dyDescent="0.2">
      <c r="B103" s="7" t="s">
        <v>152</v>
      </c>
    </row>
    <row r="105" spans="2:2" x14ac:dyDescent="0.2">
      <c r="B105" t="s">
        <v>166</v>
      </c>
    </row>
    <row r="107" spans="2:2" ht="16" x14ac:dyDescent="0.2">
      <c r="B107" s="29" t="s">
        <v>164</v>
      </c>
    </row>
    <row r="109" spans="2:2" x14ac:dyDescent="0.2">
      <c r="B109" s="7" t="s">
        <v>151</v>
      </c>
    </row>
    <row r="111" spans="2:2" x14ac:dyDescent="0.2">
      <c r="B111" t="s">
        <v>167</v>
      </c>
    </row>
    <row r="113" spans="1:2" x14ac:dyDescent="0.2">
      <c r="B113" s="7" t="s">
        <v>152</v>
      </c>
    </row>
    <row r="115" spans="1:2" x14ac:dyDescent="0.2">
      <c r="B115" t="s">
        <v>168</v>
      </c>
    </row>
    <row r="117" spans="1:2" x14ac:dyDescent="0.2">
      <c r="A117">
        <v>4</v>
      </c>
      <c r="B117" s="1" t="s">
        <v>91</v>
      </c>
    </row>
    <row r="119" spans="1:2" x14ac:dyDescent="0.2">
      <c r="B119" t="s">
        <v>169</v>
      </c>
    </row>
    <row r="120" spans="1:2" x14ac:dyDescent="0.2">
      <c r="B120" t="s">
        <v>170</v>
      </c>
    </row>
    <row r="121" spans="1:2" x14ac:dyDescent="0.2">
      <c r="B121" t="s">
        <v>171</v>
      </c>
    </row>
    <row r="122" spans="1:2" x14ac:dyDescent="0.2">
      <c r="B122" t="s">
        <v>172</v>
      </c>
    </row>
    <row r="123" spans="1:2" x14ac:dyDescent="0.2">
      <c r="B123" t="s">
        <v>173</v>
      </c>
    </row>
    <row r="125" spans="1:2" x14ac:dyDescent="0.2">
      <c r="A125">
        <v>5</v>
      </c>
      <c r="B125" s="1" t="s">
        <v>146</v>
      </c>
    </row>
    <row r="126" spans="1:2" ht="16" x14ac:dyDescent="0.2">
      <c r="B126" s="30">
        <v>2022</v>
      </c>
    </row>
    <row r="128" spans="1:2" x14ac:dyDescent="0.2">
      <c r="B128" s="27">
        <f>'Financial Statements'!B12/'Financial Statements'!B8</f>
        <v>0.56690369438639909</v>
      </c>
    </row>
    <row r="130" spans="1:2" ht="16" x14ac:dyDescent="0.2">
      <c r="B130" s="30">
        <v>2021</v>
      </c>
    </row>
    <row r="132" spans="1:2" x14ac:dyDescent="0.2">
      <c r="B132" s="27">
        <f>'Financial Statements'!C12/'Financial Statements'!C8</f>
        <v>0.58220640374832222</v>
      </c>
    </row>
    <row r="134" spans="1:2" ht="16" x14ac:dyDescent="0.2">
      <c r="B134" s="30">
        <v>2020</v>
      </c>
    </row>
    <row r="135" spans="1:2" ht="16" x14ac:dyDescent="0.2">
      <c r="B135" s="30"/>
    </row>
    <row r="136" spans="1:2" x14ac:dyDescent="0.2">
      <c r="B136" s="27">
        <f>'Financial Statements'!D12/'Financial Statements'!D8</f>
        <v>0.61766752272189129</v>
      </c>
    </row>
    <row r="138" spans="1:2" x14ac:dyDescent="0.2">
      <c r="A138">
        <v>6</v>
      </c>
      <c r="B138" s="1" t="s">
        <v>89</v>
      </c>
    </row>
    <row r="139" spans="1:2" ht="16" x14ac:dyDescent="0.2">
      <c r="B139" s="30">
        <v>2022</v>
      </c>
    </row>
    <row r="141" spans="1:2" x14ac:dyDescent="0.2">
      <c r="B141" s="27">
        <f>'Financial Statements'!B13/'Financial Statements'!B8</f>
        <v>0.43309630561360085</v>
      </c>
    </row>
    <row r="143" spans="1:2" ht="16" x14ac:dyDescent="0.2">
      <c r="B143" s="30">
        <v>2021</v>
      </c>
    </row>
    <row r="145" spans="1:2" x14ac:dyDescent="0.2">
      <c r="B145" s="27">
        <f>'Financial Statements'!C13/'Financial Statements'!C8</f>
        <v>0.41779359625167778</v>
      </c>
    </row>
    <row r="147" spans="1:2" ht="16" x14ac:dyDescent="0.2">
      <c r="B147" s="30">
        <v>2020</v>
      </c>
    </row>
    <row r="148" spans="1:2" ht="16" x14ac:dyDescent="0.2">
      <c r="B148" s="30"/>
    </row>
    <row r="149" spans="1:2" x14ac:dyDescent="0.2">
      <c r="B149" s="27">
        <f>'Financial Statements'!D13/'Financial Statements'!D8</f>
        <v>0.38233247727810865</v>
      </c>
    </row>
    <row r="151" spans="1:2" x14ac:dyDescent="0.2">
      <c r="A151">
        <v>7</v>
      </c>
      <c r="B151" s="1" t="s">
        <v>90</v>
      </c>
    </row>
    <row r="152" spans="1:2" ht="16" x14ac:dyDescent="0.2">
      <c r="B152" s="30">
        <v>2022</v>
      </c>
    </row>
    <row r="154" spans="1:2" x14ac:dyDescent="0.2">
      <c r="B154" s="27">
        <f>'Financial Statements'!B17/'Financial Statements'!B8</f>
        <v>0.13020886165831491</v>
      </c>
    </row>
    <row r="156" spans="1:2" ht="16" x14ac:dyDescent="0.2">
      <c r="B156" s="30">
        <v>2021</v>
      </c>
    </row>
    <row r="158" spans="1:2" x14ac:dyDescent="0.2">
      <c r="B158" s="27">
        <f>'Financial Statements'!C17/'Financial Statements'!C8</f>
        <v>0.11996982097606181</v>
      </c>
    </row>
    <row r="160" spans="1:2" ht="16" x14ac:dyDescent="0.2">
      <c r="B160" s="30">
        <v>2020</v>
      </c>
    </row>
    <row r="161" spans="1:2" ht="16" x14ac:dyDescent="0.2">
      <c r="B161" s="30"/>
    </row>
    <row r="162" spans="1:2" x14ac:dyDescent="0.2">
      <c r="B162" s="27">
        <f>'Financial Statements'!D17/'Financial Statements'!D8</f>
        <v>0.14085933373404003</v>
      </c>
    </row>
    <row r="164" spans="1:2" x14ac:dyDescent="0.2">
      <c r="A164">
        <v>8</v>
      </c>
      <c r="B164" s="1" t="s">
        <v>14</v>
      </c>
    </row>
    <row r="165" spans="1:2" ht="16" x14ac:dyDescent="0.2">
      <c r="B165" s="30">
        <v>2022</v>
      </c>
    </row>
    <row r="167" spans="1:2" x14ac:dyDescent="0.2">
      <c r="B167" s="27">
        <f>'Financial Statements'!B18/'Financial Statements'!B8</f>
        <v>0.30288744395528594</v>
      </c>
    </row>
    <row r="169" spans="1:2" ht="16" x14ac:dyDescent="0.2">
      <c r="B169" s="30">
        <v>2021</v>
      </c>
    </row>
    <row r="171" spans="1:2" x14ac:dyDescent="0.2">
      <c r="B171" s="27">
        <f>'Financial Statements'!C18/'Financial Statements'!C8</f>
        <v>0.29782377527561593</v>
      </c>
    </row>
    <row r="173" spans="1:2" ht="16" x14ac:dyDescent="0.2">
      <c r="B173" s="30">
        <v>2020</v>
      </c>
    </row>
    <row r="174" spans="1:2" ht="16" x14ac:dyDescent="0.2">
      <c r="B174" s="30"/>
    </row>
    <row r="175" spans="1:2" x14ac:dyDescent="0.2">
      <c r="B175" s="27">
        <f>'Financial Statements'!D18/'Financial Statements'!D8</f>
        <v>0.24147314354406862</v>
      </c>
    </row>
    <row r="177" spans="1:2" x14ac:dyDescent="0.2">
      <c r="A177">
        <v>9</v>
      </c>
      <c r="B177" s="1" t="s">
        <v>93</v>
      </c>
    </row>
    <row r="178" spans="1:2" ht="16" x14ac:dyDescent="0.2">
      <c r="B178" s="30">
        <v>2022</v>
      </c>
    </row>
    <row r="180" spans="1:2" x14ac:dyDescent="0.2">
      <c r="B180" s="27">
        <f>'Financial Statements'!B22/'Financial Statements'!B8</f>
        <v>0.25309640705199732</v>
      </c>
    </row>
    <row r="182" spans="1:2" ht="16" x14ac:dyDescent="0.2">
      <c r="B182" s="30">
        <v>2021</v>
      </c>
    </row>
    <row r="184" spans="1:2" x14ac:dyDescent="0.2">
      <c r="B184" s="27">
        <f>'Financial Statements'!C22/'Financial Statements'!C8</f>
        <v>0.25881793355694238</v>
      </c>
    </row>
    <row r="186" spans="1:2" ht="16" x14ac:dyDescent="0.2">
      <c r="B186" s="30">
        <v>2020</v>
      </c>
    </row>
    <row r="187" spans="1:2" ht="16" x14ac:dyDescent="0.2">
      <c r="B187" s="30"/>
    </row>
    <row r="188" spans="1:2" x14ac:dyDescent="0.2">
      <c r="B188" s="27">
        <f>'Financial Statements'!D22/'Financial Statements'!D8</f>
        <v>0.20913611278072236</v>
      </c>
    </row>
    <row r="190" spans="1:2" x14ac:dyDescent="0.2">
      <c r="A190">
        <v>10</v>
      </c>
      <c r="B190" s="1" t="s">
        <v>94</v>
      </c>
    </row>
    <row r="191" spans="1:2" ht="16" x14ac:dyDescent="0.2">
      <c r="B191" s="30">
        <v>2022</v>
      </c>
    </row>
    <row r="193" spans="1:2" x14ac:dyDescent="0.2">
      <c r="B193" s="27">
        <f>'Financial Statements'!B21/'Financial Statements'!B20</f>
        <v>0.16204461684424407</v>
      </c>
    </row>
    <row r="195" spans="1:2" ht="16" x14ac:dyDescent="0.2">
      <c r="B195" s="30">
        <v>2021</v>
      </c>
    </row>
    <row r="197" spans="1:2" x14ac:dyDescent="0.2">
      <c r="B197" s="27">
        <f>'Financial Statements'!C21/'Financial Statements'!C20</f>
        <v>0.13302260844085087</v>
      </c>
    </row>
    <row r="199" spans="1:2" ht="16" x14ac:dyDescent="0.2">
      <c r="B199" s="30">
        <v>2020</v>
      </c>
    </row>
    <row r="200" spans="1:2" ht="16" x14ac:dyDescent="0.2">
      <c r="B200" s="30"/>
    </row>
    <row r="201" spans="1:2" x14ac:dyDescent="0.2">
      <c r="B201" s="27">
        <f>'Financial Statements'!D21/'Financial Statements'!D20</f>
        <v>0.14428164731484103</v>
      </c>
    </row>
    <row r="203" spans="1:2" x14ac:dyDescent="0.2">
      <c r="A203">
        <v>11</v>
      </c>
      <c r="B203" s="31" t="s">
        <v>95</v>
      </c>
    </row>
    <row r="204" spans="1:2" ht="16" x14ac:dyDescent="0.2">
      <c r="B204" s="30">
        <v>2022</v>
      </c>
    </row>
    <row r="206" spans="1:2" x14ac:dyDescent="0.2">
      <c r="B206" s="27">
        <f>-'Financial Statements'!B96/'Financial Statements'!B8</f>
        <v>2.7155058732831552E-2</v>
      </c>
    </row>
    <row r="208" spans="1:2" ht="16" x14ac:dyDescent="0.2">
      <c r="B208" s="30">
        <v>2021</v>
      </c>
    </row>
    <row r="210" spans="1:2" x14ac:dyDescent="0.2">
      <c r="B210" s="27">
        <f>-'Financial Statements'!C96/'Financial Statements'!C8</f>
        <v>3.0302036264033657E-2</v>
      </c>
    </row>
    <row r="212" spans="1:2" ht="16" x14ac:dyDescent="0.2">
      <c r="B212" s="30">
        <v>2020</v>
      </c>
    </row>
    <row r="213" spans="1:2" ht="16" x14ac:dyDescent="0.2">
      <c r="B213" s="30"/>
    </row>
    <row r="214" spans="1:2" x14ac:dyDescent="0.2">
      <c r="B214" s="27">
        <f>-'Financial Statements'!D96/'Financial Statements'!D8</f>
        <v>2.6625138881299748E-2</v>
      </c>
    </row>
    <row r="216" spans="1:2" x14ac:dyDescent="0.2">
      <c r="A216">
        <v>12</v>
      </c>
      <c r="B216" s="31" t="s">
        <v>96</v>
      </c>
    </row>
    <row r="217" spans="1:2" ht="16" x14ac:dyDescent="0.2">
      <c r="B217" s="30">
        <v>2022</v>
      </c>
    </row>
    <row r="219" spans="1:2" x14ac:dyDescent="0.2">
      <c r="B219" s="27">
        <f>-'Financial Statements'!B96/'Financial Statements'!B45</f>
        <v>0.25424412944891611</v>
      </c>
    </row>
    <row r="221" spans="1:2" ht="16" x14ac:dyDescent="0.2">
      <c r="B221" s="30">
        <v>2021</v>
      </c>
    </row>
    <row r="223" spans="1:2" x14ac:dyDescent="0.2">
      <c r="B223" s="27">
        <f>-'Financial Statements'!C96/'Financial Statements'!C45</f>
        <v>0.28105983772819471</v>
      </c>
    </row>
    <row r="225" spans="2:2" ht="16" x14ac:dyDescent="0.2">
      <c r="B225" s="30">
        <v>2020</v>
      </c>
    </row>
    <row r="226" spans="2:2" ht="16" x14ac:dyDescent="0.2">
      <c r="B226" s="30"/>
    </row>
    <row r="227" spans="2:2" x14ac:dyDescent="0.2">
      <c r="B227" s="27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2024-09-03T12:34:10Z</dcterms:modified>
</cp:coreProperties>
</file>