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jniShah/Documents/Quill Capital Partners - Investment Analyst Program/Task 2 - Ratio Analysis &amp; Interpretation/"/>
    </mc:Choice>
  </mc:AlternateContent>
  <xr:revisionPtr revIDLastSave="0" documentId="13_ncr:1_{367A280E-19C4-D649-8816-4D2EA0A6945D}" xr6:coauthVersionLast="47" xr6:coauthVersionMax="47" xr10:uidLastSave="{00000000-0000-0000-0000-000000000000}"/>
  <bookViews>
    <workbookView xWindow="4740" yWindow="740" windowWidth="21440" windowHeight="17020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D17" i="3"/>
  <c r="C17" i="3"/>
  <c r="D44" i="3"/>
  <c r="E44" i="3"/>
  <c r="C44" i="3"/>
  <c r="E42" i="3"/>
  <c r="C42" i="3"/>
  <c r="D43" i="3"/>
  <c r="D42" i="3" s="1"/>
  <c r="E43" i="3"/>
  <c r="C43" i="3"/>
  <c r="D41" i="3"/>
  <c r="E41" i="3"/>
  <c r="C41" i="3"/>
  <c r="E40" i="3"/>
  <c r="D40" i="3"/>
  <c r="C40" i="3"/>
  <c r="D37" i="3"/>
  <c r="E37" i="3"/>
  <c r="C37" i="3"/>
  <c r="D36" i="3"/>
  <c r="E36" i="3"/>
  <c r="C36" i="3"/>
  <c r="D35" i="3"/>
  <c r="E35" i="3"/>
  <c r="C35" i="3"/>
  <c r="D34" i="3"/>
  <c r="E34" i="3"/>
  <c r="C34" i="3"/>
  <c r="C29" i="3"/>
  <c r="D26" i="3"/>
  <c r="E26" i="3"/>
  <c r="C26" i="3"/>
  <c r="D25" i="3"/>
  <c r="E25" i="3"/>
  <c r="C25" i="3"/>
  <c r="D22" i="3"/>
  <c r="E22" i="3"/>
  <c r="C22" i="3"/>
  <c r="D20" i="3"/>
  <c r="E20" i="3"/>
  <c r="C20" i="3"/>
  <c r="D21" i="3"/>
  <c r="E21" i="3"/>
  <c r="C21" i="3"/>
  <c r="C18" i="3"/>
  <c r="D19" i="3"/>
  <c r="D18" i="3" s="1"/>
  <c r="E19" i="3"/>
  <c r="E18" i="3" s="1"/>
  <c r="C19" i="3"/>
  <c r="E13" i="3"/>
  <c r="C13" i="3"/>
  <c r="D14" i="3"/>
  <c r="D13" i="3" s="1"/>
  <c r="E14" i="3"/>
  <c r="C14" i="3"/>
  <c r="D11" i="3"/>
  <c r="E11" i="3"/>
  <c r="C11" i="3"/>
  <c r="D10" i="3"/>
  <c r="E10" i="3"/>
  <c r="C10" i="3"/>
  <c r="D9" i="3"/>
  <c r="D12" i="3" s="1"/>
  <c r="E9" i="3"/>
  <c r="E12" i="3" s="1"/>
  <c r="C9" i="3"/>
  <c r="C12" i="3" s="1"/>
  <c r="D8" i="3"/>
  <c r="E8" i="3"/>
  <c r="C8" i="3"/>
  <c r="D7" i="3"/>
  <c r="E7" i="3"/>
  <c r="C7" i="3"/>
  <c r="D6" i="3"/>
  <c r="E6" i="3"/>
  <c r="C6" i="3"/>
  <c r="D5" i="3"/>
  <c r="E5" i="3"/>
  <c r="C5" i="3"/>
  <c r="D65" i="2" l="1"/>
  <c r="D63" i="2"/>
  <c r="D64" i="2" s="1"/>
  <c r="D57" i="2"/>
  <c r="D58" i="2"/>
  <c r="D53" i="2"/>
  <c r="D46" i="2"/>
  <c r="D45" i="2"/>
  <c r="D44" i="2"/>
  <c r="D41" i="2"/>
  <c r="C63" i="2"/>
  <c r="B63" i="2"/>
  <c r="C64" i="2"/>
  <c r="C65" i="2" s="1"/>
  <c r="C44" i="2"/>
  <c r="C45" i="2" s="1"/>
  <c r="C46" i="2" s="1"/>
  <c r="C58" i="2"/>
  <c r="C57" i="2"/>
  <c r="C53" i="2"/>
  <c r="C41" i="2"/>
  <c r="D101" i="2"/>
  <c r="D100" i="2"/>
  <c r="D92" i="2"/>
  <c r="D85" i="2"/>
  <c r="D78" i="2"/>
  <c r="D22" i="2"/>
  <c r="D17" i="2"/>
  <c r="D16" i="2"/>
  <c r="D8" i="2"/>
  <c r="C101" i="2"/>
  <c r="C100" i="2"/>
  <c r="C92" i="2"/>
  <c r="C85" i="2"/>
  <c r="C78" i="2"/>
  <c r="C22" i="2"/>
  <c r="B22" i="2"/>
  <c r="B17" i="2"/>
  <c r="C16" i="2"/>
  <c r="B16" i="2"/>
  <c r="C8" i="2"/>
  <c r="C17" i="2" s="1"/>
  <c r="B85" i="2"/>
  <c r="B64" i="2"/>
  <c r="B57" i="2"/>
  <c r="B53" i="2"/>
  <c r="B44" i="2"/>
  <c r="B45" i="2" s="1"/>
  <c r="B41" i="2"/>
  <c r="B100" i="2"/>
  <c r="B92" i="2"/>
  <c r="B78" i="2"/>
  <c r="B8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B58" i="2" l="1"/>
  <c r="B65" i="2"/>
  <c r="B46" i="2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B101" i="2" l="1"/>
</calcChain>
</file>

<file path=xl/sharedStrings.xml><?xml version="1.0" encoding="utf-8"?>
<sst xmlns="http://schemas.openxmlformats.org/spreadsheetml/2006/main" count="186" uniqueCount="142">
  <si>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</si>
  <si>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</si>
  <si>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</si>
  <si>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</si>
  <si>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</si>
  <si>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</si>
  <si>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</si>
  <si>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</si>
  <si>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</si>
  <si>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</si>
  <si>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</si>
  <si>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</si>
  <si>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</si>
  <si>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</si>
  <si>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</si>
  <si>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</si>
  <si>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</si>
  <si>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</si>
  <si>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</si>
  <si>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</si>
  <si>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</si>
  <si>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</si>
  <si>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</si>
  <si>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</si>
  <si>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</si>
  <si>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</si>
  <si>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</si>
  <si>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</si>
  <si>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</si>
  <si>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</si>
  <si>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</si>
  <si>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</si>
  <si>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</si>
  <si>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</si>
  <si>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</si>
  <si>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</si>
  <si>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</si>
  <si>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</si>
  <si>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</si>
  <si>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</si>
  <si>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</si>
  <si>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</si>
  <si>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</si>
  <si>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</si>
  <si>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</si>
  <si>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</si>
  <si>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</si>
  <si>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</si>
  <si>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</si>
  <si>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</si>
  <si>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</si>
  <si>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</si>
  <si>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</si>
  <si>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</si>
  <si>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</si>
  <si>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</si>
  <si>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</si>
  <si>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</si>
  <si>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</si>
  <si>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</si>
  <si>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</si>
  <si>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</si>
  <si>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</si>
  <si>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</si>
  <si>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</si>
  <si>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</si>
  <si>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Operating expenses: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</si>
  <si>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</si>
  <si>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</si>
  <si>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</si>
  <si>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</si>
  <si>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</si>
  <si>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</si>
  <si>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</si>
  <si>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</si>
  <si>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</si>
  <si>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</si>
  <si>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</si>
  <si>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</si>
  <si>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</si>
  <si>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</si>
  <si>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</si>
  <si>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</si>
  <si>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</si>
  <si>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</si>
  <si>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</si>
  <si>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</si>
  <si>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</si>
  <si>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</si>
  <si>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</si>
  <si>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</si>
  <si>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</si>
  <si>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</si>
  <si>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</si>
  <si>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</si>
  <si>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</si>
  <si>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</si>
  <si>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</si>
  <si>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</si>
  <si>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</si>
  <si>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</si>
  <si>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</si>
  <si>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</si>
  <si>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</si>
  <si>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</si>
  <si>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</si>
  <si>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</si>
  <si>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</si>
  <si>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</si>
  <si>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</si>
  <si>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Other current and non current liabilities</t>
  </si>
  <si>
    <t>Cash generated by operating activities</t>
  </si>
  <si>
    <t>Investing activities:</t>
  </si>
  <si>
    <t>Purchases of marketable securities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</si>
  <si>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</si>
  <si>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</si>
  <si>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</si>
  <si>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</si>
  <si>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</si>
  <si>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Stock based compensation expense</t>
  </si>
  <si>
    <t>Unearned revenue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</si>
  <si>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</si>
  <si>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</si>
  <si>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</si>
  <si>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</si>
  <si>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</si>
  <si>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</si>
  <si>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</si>
  <si>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</si>
  <si>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</si>
  <si>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</si>
  <si>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Common stock and additional paid in capital, $0.01 par value: 5,000 shares authorized; 527 and 532 and 503 and 509 shares issued and outstanding, respectively</t>
  </si>
  <si>
    <t>Amazon Inc.</t>
  </si>
  <si>
    <t>Cost of sales</t>
  </si>
  <si>
    <t>Fulfillment</t>
  </si>
  <si>
    <t xml:space="preserve">Technology and content </t>
  </si>
  <si>
    <t>Marketing</t>
  </si>
  <si>
    <t>General and administrative</t>
  </si>
  <si>
    <t>Other operating expenses</t>
  </si>
  <si>
    <t>Equity-method investment activity, net of tax</t>
  </si>
  <si>
    <t>-</t>
  </si>
  <si>
    <t>Long-term lease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</si>
</sst>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164" fontId="1" fillId="0" borderId="1" xfId="1" applyNumberFormat="1" applyFont="1" applyBorder="1"/>
    <xf numFmtId="164" fontId="0" fillId="0" borderId="0" xfId="0" applyNumberFormat="1"/>
    <xf numFmtId="164" fontId="1" fillId="0" borderId="0" xfId="1" applyNumberFormat="1" applyFont="1"/>
    <xf numFmtId="164" fontId="1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6" fontId="0" fillId="0" borderId="0" xfId="0" applyNumberFormat="1"/>
    <xf numFmtId="2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43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abSelected="1" workbookViewId="0">
      <selection activeCell="A17" sqref="A17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61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59</v>
      </c>
    </row>
    <row r="8" spans="1:1" ht="16" x14ac:dyDescent="0.2">
      <c r="A8" s="2" t="s">
        <v>60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4"/>
  <sheetViews>
    <sheetView zoomScaleNormal="100" workbookViewId="0">
      <selection activeCell="B15" sqref="B15"/>
    </sheetView>
  </sheetViews>
  <sheetFormatPr baseColWidth="10" defaultColWidth="8.83203125" defaultRowHeight="15" x14ac:dyDescent="0.2"/>
  <cols>
    <col min="1" max="1" width="49.6640625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7" t="s">
        <v>132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37" t="s">
        <v>10</v>
      </c>
      <c r="B2" s="37"/>
      <c r="C2" s="37"/>
      <c r="D2" s="37"/>
    </row>
    <row r="3" spans="1:10" x14ac:dyDescent="0.2">
      <c r="B3" s="36" t="s">
        <v>56</v>
      </c>
      <c r="C3" s="36"/>
      <c r="D3" s="36"/>
    </row>
    <row r="4" spans="1:10" x14ac:dyDescent="0.2">
      <c r="B4" s="9">
        <v>2019</v>
      </c>
      <c r="C4" s="9">
        <v>2018</v>
      </c>
      <c r="D4" s="9">
        <v>2017</v>
      </c>
    </row>
    <row r="5" spans="1:10" x14ac:dyDescent="0.2">
      <c r="A5" t="s">
        <v>62</v>
      </c>
    </row>
    <row r="6" spans="1:10" x14ac:dyDescent="0.2">
      <c r="A6" s="1" t="s">
        <v>63</v>
      </c>
      <c r="B6" s="10">
        <v>160408</v>
      </c>
      <c r="C6" s="10">
        <v>141915</v>
      </c>
      <c r="D6" s="10">
        <v>118573</v>
      </c>
    </row>
    <row r="7" spans="1:10" x14ac:dyDescent="0.2">
      <c r="A7" s="1" t="s">
        <v>64</v>
      </c>
      <c r="B7" s="10">
        <v>120114</v>
      </c>
      <c r="C7" s="10">
        <v>90972</v>
      </c>
      <c r="D7" s="10">
        <v>59293</v>
      </c>
    </row>
    <row r="8" spans="1:10" x14ac:dyDescent="0.2">
      <c r="A8" s="11" t="s">
        <v>65</v>
      </c>
      <c r="B8" s="12">
        <f>SUM(B6:B7)</f>
        <v>280522</v>
      </c>
      <c r="C8" s="12">
        <f>SUM(C6:C7)</f>
        <v>232887</v>
      </c>
      <c r="D8" s="12">
        <f>SUM(D6:D7)</f>
        <v>177866</v>
      </c>
    </row>
    <row r="9" spans="1:10" x14ac:dyDescent="0.2">
      <c r="A9" t="s">
        <v>66</v>
      </c>
      <c r="B9" s="10"/>
      <c r="C9" s="10"/>
      <c r="D9" s="10"/>
    </row>
    <row r="10" spans="1:10" x14ac:dyDescent="0.2">
      <c r="A10" s="1" t="s">
        <v>133</v>
      </c>
      <c r="B10" s="10">
        <v>165536</v>
      </c>
      <c r="C10" s="10">
        <v>139156</v>
      </c>
      <c r="D10" s="10">
        <v>111934</v>
      </c>
    </row>
    <row r="11" spans="1:10" x14ac:dyDescent="0.2">
      <c r="A11" s="1" t="s">
        <v>134</v>
      </c>
      <c r="B11" s="10">
        <v>40232</v>
      </c>
      <c r="C11" s="10">
        <v>34027</v>
      </c>
      <c r="D11" s="10">
        <v>25249</v>
      </c>
    </row>
    <row r="12" spans="1:10" x14ac:dyDescent="0.2">
      <c r="A12" s="1" t="s">
        <v>135</v>
      </c>
      <c r="B12" s="10">
        <v>35931</v>
      </c>
      <c r="C12" s="10">
        <v>28837</v>
      </c>
      <c r="D12" s="10">
        <v>22620</v>
      </c>
    </row>
    <row r="13" spans="1:10" x14ac:dyDescent="0.2">
      <c r="A13" s="1" t="s">
        <v>136</v>
      </c>
      <c r="B13" s="10">
        <v>18878</v>
      </c>
      <c r="C13" s="10">
        <v>13814</v>
      </c>
      <c r="D13" s="10">
        <v>10069</v>
      </c>
    </row>
    <row r="14" spans="1:10" x14ac:dyDescent="0.2">
      <c r="A14" s="1" t="s">
        <v>137</v>
      </c>
      <c r="B14" s="10">
        <v>5203</v>
      </c>
      <c r="C14" s="10">
        <v>4336</v>
      </c>
      <c r="D14" s="10">
        <v>3674</v>
      </c>
    </row>
    <row r="15" spans="1:10" x14ac:dyDescent="0.2">
      <c r="A15" s="1" t="s">
        <v>138</v>
      </c>
      <c r="B15" s="10">
        <v>201</v>
      </c>
      <c r="C15" s="10">
        <v>296</v>
      </c>
      <c r="D15" s="10">
        <v>214</v>
      </c>
    </row>
    <row r="16" spans="1:10" x14ac:dyDescent="0.2">
      <c r="A16" s="11" t="s">
        <v>67</v>
      </c>
      <c r="B16" s="12">
        <f>SUM(B10:B15)</f>
        <v>265981</v>
      </c>
      <c r="C16" s="12">
        <f>SUM(C10:C15)</f>
        <v>220466</v>
      </c>
      <c r="D16" s="12">
        <f>SUM(D10:D15)</f>
        <v>173760</v>
      </c>
    </row>
    <row r="17" spans="1:4" s="11" customFormat="1" x14ac:dyDescent="0.2">
      <c r="A17" s="11" t="s">
        <v>68</v>
      </c>
      <c r="B17" s="12">
        <f>+B8-B16</f>
        <v>14541</v>
      </c>
      <c r="C17" s="12">
        <f>+C8-C16</f>
        <v>12421</v>
      </c>
      <c r="D17" s="12">
        <f>+D8-D16</f>
        <v>4106</v>
      </c>
    </row>
    <row r="18" spans="1:4" x14ac:dyDescent="0.2">
      <c r="A18" t="s">
        <v>69</v>
      </c>
      <c r="B18" s="10">
        <v>203</v>
      </c>
      <c r="C18" s="10">
        <v>-183</v>
      </c>
      <c r="D18" s="10">
        <v>346</v>
      </c>
    </row>
    <row r="19" spans="1:4" x14ac:dyDescent="0.2">
      <c r="A19" s="11" t="s">
        <v>70</v>
      </c>
      <c r="B19" s="12">
        <v>13976</v>
      </c>
      <c r="C19" s="12">
        <v>11261</v>
      </c>
      <c r="D19" s="10">
        <v>3806</v>
      </c>
    </row>
    <row r="20" spans="1:4" x14ac:dyDescent="0.2">
      <c r="A20" t="s">
        <v>71</v>
      </c>
      <c r="B20" s="10">
        <v>-2374</v>
      </c>
      <c r="C20" s="10">
        <v>-1197</v>
      </c>
      <c r="D20" s="10">
        <v>-769</v>
      </c>
    </row>
    <row r="21" spans="1:4" x14ac:dyDescent="0.2">
      <c r="A21" t="s">
        <v>139</v>
      </c>
      <c r="B21" s="10">
        <v>-14</v>
      </c>
      <c r="C21" s="10">
        <v>9</v>
      </c>
      <c r="D21" s="10">
        <v>-4</v>
      </c>
    </row>
    <row r="22" spans="1:4" ht="16" thickBot="1" x14ac:dyDescent="0.25">
      <c r="A22" s="13" t="s">
        <v>72</v>
      </c>
      <c r="B22" s="14">
        <f>-SUM(B19:B21)</f>
        <v>-11588</v>
      </c>
      <c r="C22" s="14">
        <f>-SUM(C19:C21)</f>
        <v>-10073</v>
      </c>
      <c r="D22" s="14">
        <f>-SUM(D19:D21)</f>
        <v>-3033</v>
      </c>
    </row>
    <row r="23" spans="1:4" ht="16" thickTop="1" x14ac:dyDescent="0.2">
      <c r="A23" t="s">
        <v>73</v>
      </c>
    </row>
    <row r="24" spans="1:4" x14ac:dyDescent="0.2">
      <c r="A24" s="1" t="s">
        <v>74</v>
      </c>
      <c r="B24" s="15">
        <v>23.46</v>
      </c>
      <c r="C24" s="15">
        <v>20.68</v>
      </c>
      <c r="D24" s="15">
        <v>6.32</v>
      </c>
    </row>
    <row r="25" spans="1:4" x14ac:dyDescent="0.2">
      <c r="A25" s="1" t="s">
        <v>75</v>
      </c>
      <c r="B25" s="15">
        <v>23.01</v>
      </c>
      <c r="C25" s="15">
        <v>20.14</v>
      </c>
      <c r="D25" s="15">
        <v>6.15</v>
      </c>
    </row>
    <row r="26" spans="1:4" x14ac:dyDescent="0.2">
      <c r="A26" t="s">
        <v>76</v>
      </c>
    </row>
    <row r="27" spans="1:4" x14ac:dyDescent="0.2">
      <c r="A27" s="1" t="s">
        <v>74</v>
      </c>
      <c r="B27" s="16">
        <v>494</v>
      </c>
      <c r="C27" s="16">
        <v>487</v>
      </c>
      <c r="D27" s="16">
        <v>480</v>
      </c>
    </row>
    <row r="28" spans="1:4" x14ac:dyDescent="0.2">
      <c r="A28" s="1" t="s">
        <v>75</v>
      </c>
      <c r="B28" s="16">
        <v>504</v>
      </c>
      <c r="C28" s="16">
        <v>500</v>
      </c>
      <c r="D28" s="16">
        <v>493</v>
      </c>
    </row>
    <row r="31" spans="1:4" x14ac:dyDescent="0.2">
      <c r="A31" s="37" t="s">
        <v>12</v>
      </c>
      <c r="B31" s="37"/>
      <c r="C31" s="37"/>
      <c r="D31" s="37"/>
    </row>
    <row r="32" spans="1:4" x14ac:dyDescent="0.2">
      <c r="B32" s="36" t="s">
        <v>57</v>
      </c>
      <c r="C32" s="36"/>
      <c r="D32" s="36"/>
    </row>
    <row r="33" spans="1:4" x14ac:dyDescent="0.2">
      <c r="B33" s="9">
        <v>2019</v>
      </c>
      <c r="C33" s="9">
        <v>2018</v>
      </c>
      <c r="D33" s="9">
        <v>2017</v>
      </c>
    </row>
    <row r="35" spans="1:4" x14ac:dyDescent="0.2">
      <c r="A35" t="s">
        <v>77</v>
      </c>
    </row>
    <row r="36" spans="1:4" x14ac:dyDescent="0.2">
      <c r="A36" s="1" t="s">
        <v>78</v>
      </c>
      <c r="B36" s="10">
        <v>42122</v>
      </c>
      <c r="C36" s="10">
        <v>31750</v>
      </c>
      <c r="D36" s="10">
        <v>20522</v>
      </c>
    </row>
    <row r="37" spans="1:4" x14ac:dyDescent="0.2">
      <c r="A37" s="1" t="s">
        <v>79</v>
      </c>
      <c r="B37" s="10">
        <v>42274</v>
      </c>
      <c r="C37" s="10">
        <v>9500</v>
      </c>
      <c r="D37" s="10">
        <v>10464</v>
      </c>
    </row>
    <row r="38" spans="1:4" x14ac:dyDescent="0.2">
      <c r="A38" s="1" t="s">
        <v>80</v>
      </c>
      <c r="B38" s="10">
        <v>24542</v>
      </c>
      <c r="C38" s="10">
        <v>16677</v>
      </c>
      <c r="D38" s="10">
        <v>13164</v>
      </c>
    </row>
    <row r="39" spans="1:4" x14ac:dyDescent="0.2">
      <c r="A39" s="1" t="s">
        <v>81</v>
      </c>
      <c r="B39" s="10">
        <v>23795</v>
      </c>
      <c r="C39" s="10">
        <v>17174</v>
      </c>
      <c r="D39" s="10">
        <v>16047</v>
      </c>
    </row>
    <row r="40" spans="1:4" x14ac:dyDescent="0.2">
      <c r="A40" s="1" t="s">
        <v>82</v>
      </c>
      <c r="B40" s="10">
        <v>22778</v>
      </c>
      <c r="C40" s="28" t="s">
        <v>140</v>
      </c>
      <c r="D40" s="28" t="s">
        <v>140</v>
      </c>
    </row>
    <row r="41" spans="1:4" x14ac:dyDescent="0.2">
      <c r="A41" s="11" t="s">
        <v>83</v>
      </c>
      <c r="B41" s="12">
        <f>SUM(B36:B40)</f>
        <v>155511</v>
      </c>
      <c r="C41" s="12">
        <f>SUM(C36:C40)</f>
        <v>75101</v>
      </c>
      <c r="D41" s="12">
        <f>SUM(D36:D40)</f>
        <v>60197</v>
      </c>
    </row>
    <row r="42" spans="1:4" x14ac:dyDescent="0.2">
      <c r="A42" t="s">
        <v>84</v>
      </c>
      <c r="B42" s="10"/>
      <c r="C42" s="10"/>
      <c r="D42" s="10"/>
    </row>
    <row r="43" spans="1:4" x14ac:dyDescent="0.2">
      <c r="A43" s="1" t="s">
        <v>85</v>
      </c>
      <c r="B43" s="10">
        <v>113114</v>
      </c>
      <c r="C43" s="10">
        <v>61797</v>
      </c>
      <c r="D43" s="10">
        <v>48866</v>
      </c>
    </row>
    <row r="44" spans="1:4" x14ac:dyDescent="0.2">
      <c r="A44" s="1" t="s">
        <v>86</v>
      </c>
      <c r="B44" s="10">
        <f>22778+15017+37553</f>
        <v>75348</v>
      </c>
      <c r="C44" s="10">
        <f>14548+11202</f>
        <v>25750</v>
      </c>
      <c r="D44" s="10">
        <f>13350+8897</f>
        <v>22247</v>
      </c>
    </row>
    <row r="45" spans="1:4" x14ac:dyDescent="0.2">
      <c r="A45" s="11" t="s">
        <v>87</v>
      </c>
      <c r="B45" s="12">
        <f>SUM(B43:B44)</f>
        <v>188462</v>
      </c>
      <c r="C45" s="12">
        <f>SUM(C43:C44)</f>
        <v>87547</v>
      </c>
      <c r="D45" s="12">
        <f>SUM(D43:D44)</f>
        <v>71113</v>
      </c>
    </row>
    <row r="46" spans="1:4" ht="16" thickBot="1" x14ac:dyDescent="0.25">
      <c r="A46" s="13" t="s">
        <v>88</v>
      </c>
      <c r="B46" s="14">
        <f>B41+B45</f>
        <v>343973</v>
      </c>
      <c r="C46" s="14">
        <f>C41+C45</f>
        <v>162648</v>
      </c>
      <c r="D46" s="14">
        <f>D41+D45</f>
        <v>131310</v>
      </c>
    </row>
    <row r="47" spans="1:4" ht="16" thickTop="1" x14ac:dyDescent="0.2"/>
    <row r="48" spans="1:4" x14ac:dyDescent="0.2">
      <c r="A48" t="s">
        <v>89</v>
      </c>
    </row>
    <row r="49" spans="1:4" x14ac:dyDescent="0.2">
      <c r="A49" s="1" t="s">
        <v>90</v>
      </c>
      <c r="B49" s="10">
        <v>47183</v>
      </c>
      <c r="C49" s="10">
        <v>38192</v>
      </c>
      <c r="D49" s="10">
        <v>34616</v>
      </c>
    </row>
    <row r="50" spans="1:4" x14ac:dyDescent="0.2">
      <c r="A50" s="1" t="s">
        <v>91</v>
      </c>
      <c r="B50" s="10">
        <v>32439</v>
      </c>
      <c r="C50" s="10">
        <v>23663</v>
      </c>
      <c r="D50" s="10">
        <v>18170</v>
      </c>
    </row>
    <row r="51" spans="1:4" x14ac:dyDescent="0.2">
      <c r="A51" s="1" t="s">
        <v>120</v>
      </c>
      <c r="B51" s="10">
        <v>8190</v>
      </c>
      <c r="C51" s="10">
        <v>6536</v>
      </c>
      <c r="D51" s="10">
        <v>5097</v>
      </c>
    </row>
    <row r="52" spans="1:4" x14ac:dyDescent="0.2">
      <c r="A52" s="1" t="s">
        <v>92</v>
      </c>
      <c r="B52" s="10">
        <v>31816</v>
      </c>
      <c r="C52" s="28" t="s">
        <v>140</v>
      </c>
      <c r="D52" s="28" t="s">
        <v>140</v>
      </c>
    </row>
    <row r="53" spans="1:4" x14ac:dyDescent="0.2">
      <c r="A53" s="11" t="s">
        <v>93</v>
      </c>
      <c r="B53" s="12">
        <f>SUM(B49:B52)</f>
        <v>119628</v>
      </c>
      <c r="C53" s="12">
        <f>SUM(C49:C52)</f>
        <v>68391</v>
      </c>
      <c r="D53" s="12">
        <f>SUM(D49:D52)</f>
        <v>57883</v>
      </c>
    </row>
    <row r="54" spans="1:4" x14ac:dyDescent="0.2">
      <c r="A54" t="s">
        <v>94</v>
      </c>
      <c r="B54" s="10"/>
      <c r="D54" s="10"/>
    </row>
    <row r="55" spans="1:4" x14ac:dyDescent="0.2">
      <c r="A55" s="1" t="s">
        <v>141</v>
      </c>
      <c r="B55" s="10">
        <v>52573</v>
      </c>
      <c r="C55" s="10">
        <v>9650</v>
      </c>
      <c r="D55" s="10">
        <v>24743</v>
      </c>
    </row>
    <row r="56" spans="1:4" x14ac:dyDescent="0.2">
      <c r="A56" s="1" t="s">
        <v>95</v>
      </c>
      <c r="B56" s="10">
        <v>17017</v>
      </c>
      <c r="C56" s="10">
        <v>17563</v>
      </c>
      <c r="D56" s="10">
        <v>20975</v>
      </c>
    </row>
    <row r="57" spans="1:4" s="9" customFormat="1" x14ac:dyDescent="0.2">
      <c r="A57" s="18" t="s">
        <v>96</v>
      </c>
      <c r="B57" s="17">
        <f>SUM(B55:B56)</f>
        <v>69590</v>
      </c>
      <c r="C57" s="17">
        <f>SUM(C55:C56)</f>
        <v>27213</v>
      </c>
      <c r="D57" s="17">
        <f>SUM(D55:D56)</f>
        <v>45718</v>
      </c>
    </row>
    <row r="58" spans="1:4" x14ac:dyDescent="0.2">
      <c r="A58" s="11" t="s">
        <v>97</v>
      </c>
      <c r="B58" s="12">
        <f>B53+B57</f>
        <v>189218</v>
      </c>
      <c r="C58" s="12">
        <f>C53+C57</f>
        <v>95604</v>
      </c>
      <c r="D58" s="12">
        <f>D53+D57</f>
        <v>103601</v>
      </c>
    </row>
    <row r="59" spans="1:4" x14ac:dyDescent="0.2">
      <c r="B59" s="10"/>
      <c r="C59" s="10"/>
      <c r="D59" s="10"/>
    </row>
    <row r="60" spans="1:4" x14ac:dyDescent="0.2">
      <c r="A60" t="s">
        <v>98</v>
      </c>
      <c r="B60" s="10"/>
      <c r="C60" s="10"/>
      <c r="D60" s="10"/>
    </row>
    <row r="61" spans="1:4" ht="48" x14ac:dyDescent="0.2">
      <c r="A61" s="5" t="s">
        <v>131</v>
      </c>
      <c r="B61" s="10">
        <v>5</v>
      </c>
      <c r="C61" s="10">
        <v>5</v>
      </c>
      <c r="D61" s="10">
        <v>5</v>
      </c>
    </row>
    <row r="62" spans="1:4" x14ac:dyDescent="0.2">
      <c r="A62" s="1" t="s">
        <v>99</v>
      </c>
      <c r="B62" s="10">
        <v>31220</v>
      </c>
      <c r="C62" s="10">
        <v>19625</v>
      </c>
      <c r="D62" s="10">
        <v>8636</v>
      </c>
    </row>
    <row r="63" spans="1:4" x14ac:dyDescent="0.2">
      <c r="A63" s="1" t="s">
        <v>100</v>
      </c>
      <c r="B63" s="10">
        <f>-986+33658+-1837</f>
        <v>30835</v>
      </c>
      <c r="C63" s="10">
        <f>-1035+26791+-1837</f>
        <v>23919</v>
      </c>
      <c r="D63" s="10">
        <f>-484+21389+-1837</f>
        <v>19068</v>
      </c>
    </row>
    <row r="64" spans="1:4" x14ac:dyDescent="0.2">
      <c r="A64" s="11" t="s">
        <v>101</v>
      </c>
      <c r="B64" s="12">
        <f>+SUM(B61:B63)</f>
        <v>62060</v>
      </c>
      <c r="C64" s="12">
        <f>+SUM(C61:C63)</f>
        <v>43549</v>
      </c>
      <c r="D64" s="12">
        <f>+SUM(D61:D63)</f>
        <v>27709</v>
      </c>
    </row>
    <row r="65" spans="1:5" ht="16" thickBot="1" x14ac:dyDescent="0.25">
      <c r="A65" s="13" t="s">
        <v>102</v>
      </c>
      <c r="B65" s="14">
        <f>+B64+B57</f>
        <v>131650</v>
      </c>
      <c r="C65" s="14">
        <f>+C64+C57</f>
        <v>70762</v>
      </c>
      <c r="D65" s="14">
        <f>+D64+D57</f>
        <v>73427</v>
      </c>
      <c r="E65" s="25"/>
    </row>
    <row r="66" spans="1:5" ht="16" thickTop="1" x14ac:dyDescent="0.2"/>
    <row r="67" spans="1:5" x14ac:dyDescent="0.2">
      <c r="A67" s="37" t="s">
        <v>13</v>
      </c>
      <c r="B67" s="37"/>
      <c r="C67" s="37"/>
      <c r="D67" s="37"/>
    </row>
    <row r="68" spans="1:5" x14ac:dyDescent="0.2">
      <c r="B68" s="36" t="s">
        <v>56</v>
      </c>
      <c r="C68" s="36"/>
      <c r="D68" s="36"/>
    </row>
    <row r="69" spans="1:5" x14ac:dyDescent="0.2">
      <c r="B69" s="9">
        <v>2019</v>
      </c>
      <c r="C69" s="9">
        <v>2018</v>
      </c>
      <c r="D69" s="9">
        <v>2017</v>
      </c>
    </row>
    <row r="71" spans="1:5" x14ac:dyDescent="0.2">
      <c r="A71" s="9" t="s">
        <v>103</v>
      </c>
      <c r="B71" s="17">
        <v>32173</v>
      </c>
      <c r="C71" s="17">
        <v>21856</v>
      </c>
      <c r="D71" s="17">
        <v>19934</v>
      </c>
    </row>
    <row r="72" spans="1:5" x14ac:dyDescent="0.2">
      <c r="A72" t="s">
        <v>104</v>
      </c>
      <c r="B72" s="10"/>
      <c r="C72" s="10"/>
      <c r="D72" s="10"/>
    </row>
    <row r="73" spans="1:5" x14ac:dyDescent="0.2">
      <c r="A73" s="18" t="s">
        <v>72</v>
      </c>
      <c r="B73" s="17">
        <v>11588</v>
      </c>
      <c r="C73" s="17">
        <v>10073</v>
      </c>
      <c r="D73" s="17">
        <v>3033</v>
      </c>
    </row>
    <row r="74" spans="1:5" x14ac:dyDescent="0.2">
      <c r="A74" s="1" t="s">
        <v>105</v>
      </c>
      <c r="B74" s="10"/>
      <c r="C74" s="10"/>
      <c r="D74" s="10"/>
    </row>
    <row r="75" spans="1:5" x14ac:dyDescent="0.2">
      <c r="A75" s="19" t="s">
        <v>106</v>
      </c>
      <c r="B75" s="10">
        <v>21789</v>
      </c>
      <c r="C75" s="10">
        <v>15341</v>
      </c>
      <c r="D75" s="10">
        <v>11478</v>
      </c>
    </row>
    <row r="76" spans="1:5" x14ac:dyDescent="0.2">
      <c r="A76" s="19" t="s">
        <v>119</v>
      </c>
      <c r="B76" s="10">
        <v>6864</v>
      </c>
      <c r="C76" s="10">
        <v>5418</v>
      </c>
      <c r="D76" s="10">
        <v>4215</v>
      </c>
    </row>
    <row r="77" spans="1:5" x14ac:dyDescent="0.2">
      <c r="A77" s="19" t="s">
        <v>107</v>
      </c>
      <c r="B77" s="10">
        <v>796</v>
      </c>
      <c r="C77" s="10">
        <v>441</v>
      </c>
      <c r="D77" s="10">
        <v>-29</v>
      </c>
    </row>
    <row r="78" spans="1:5" x14ac:dyDescent="0.2">
      <c r="A78" s="19" t="s">
        <v>108</v>
      </c>
      <c r="B78" s="10">
        <f>164+(249)</f>
        <v>413</v>
      </c>
      <c r="C78" s="10">
        <f>274+219</f>
        <v>493</v>
      </c>
      <c r="D78" s="10">
        <f>202+(292)</f>
        <v>494</v>
      </c>
    </row>
    <row r="79" spans="1:5" x14ac:dyDescent="0.2">
      <c r="A79" t="s">
        <v>109</v>
      </c>
      <c r="B79" s="10"/>
      <c r="C79" s="10"/>
      <c r="D79" s="10"/>
    </row>
    <row r="80" spans="1:5" x14ac:dyDescent="0.2">
      <c r="A80" s="1" t="s">
        <v>80</v>
      </c>
      <c r="B80" s="10">
        <v>-7681</v>
      </c>
      <c r="C80" s="10">
        <v>-4615</v>
      </c>
      <c r="D80" s="10">
        <v>-4780</v>
      </c>
    </row>
    <row r="81" spans="1:4" x14ac:dyDescent="0.2">
      <c r="A81" s="1" t="s">
        <v>81</v>
      </c>
      <c r="B81" s="10">
        <v>-3278</v>
      </c>
      <c r="C81" s="10">
        <v>-1314</v>
      </c>
      <c r="D81" s="10">
        <v>-3583</v>
      </c>
    </row>
    <row r="82" spans="1:4" x14ac:dyDescent="0.2">
      <c r="A82" s="1" t="s">
        <v>90</v>
      </c>
      <c r="B82" s="10">
        <v>8193</v>
      </c>
      <c r="C82" s="10">
        <v>3263</v>
      </c>
      <c r="D82" s="10">
        <v>-4780</v>
      </c>
    </row>
    <row r="83" spans="1:4" x14ac:dyDescent="0.2">
      <c r="A83" s="1" t="s">
        <v>120</v>
      </c>
      <c r="B83" s="10">
        <v>1711</v>
      </c>
      <c r="C83" s="10">
        <v>1151</v>
      </c>
      <c r="D83" s="10">
        <v>738</v>
      </c>
    </row>
    <row r="84" spans="1:4" x14ac:dyDescent="0.2">
      <c r="A84" s="1" t="s">
        <v>110</v>
      </c>
      <c r="B84" s="10">
        <v>-1383</v>
      </c>
      <c r="C84" s="10">
        <v>472</v>
      </c>
      <c r="D84" s="10">
        <v>283</v>
      </c>
    </row>
    <row r="85" spans="1:4" x14ac:dyDescent="0.2">
      <c r="A85" s="11" t="s">
        <v>111</v>
      </c>
      <c r="B85" s="12">
        <f>SUM(B80:B84)</f>
        <v>-2438</v>
      </c>
      <c r="C85" s="12">
        <f>SUM(C80:C84)</f>
        <v>-1043</v>
      </c>
      <c r="D85" s="12">
        <f>SUM(D80:D84)</f>
        <v>-12122</v>
      </c>
    </row>
    <row r="86" spans="1:4" x14ac:dyDescent="0.2">
      <c r="A86" s="9" t="s">
        <v>112</v>
      </c>
      <c r="B86" s="10"/>
      <c r="C86" s="10"/>
      <c r="D86" s="10"/>
    </row>
    <row r="87" spans="1:4" x14ac:dyDescent="0.2">
      <c r="A87" s="1" t="s">
        <v>121</v>
      </c>
      <c r="B87" s="10">
        <v>-16861</v>
      </c>
      <c r="C87" s="10">
        <v>-13427</v>
      </c>
      <c r="D87" s="10">
        <v>-11955</v>
      </c>
    </row>
    <row r="88" spans="1:4" x14ac:dyDescent="0.2">
      <c r="A88" t="s">
        <v>122</v>
      </c>
      <c r="B88" s="10">
        <v>4172</v>
      </c>
      <c r="C88" s="10">
        <v>2104</v>
      </c>
      <c r="D88" s="10">
        <v>187</v>
      </c>
    </row>
    <row r="89" spans="1:4" x14ac:dyDescent="0.2">
      <c r="A89" t="s">
        <v>123</v>
      </c>
      <c r="B89" s="10">
        <v>-2461</v>
      </c>
      <c r="C89" s="10">
        <v>-2186</v>
      </c>
      <c r="D89" s="10">
        <v>-13972</v>
      </c>
    </row>
    <row r="90" spans="1:4" x14ac:dyDescent="0.2">
      <c r="A90" t="s">
        <v>124</v>
      </c>
      <c r="B90" s="10">
        <v>22681</v>
      </c>
      <c r="C90" s="10">
        <v>8240</v>
      </c>
      <c r="D90" s="10">
        <v>9677</v>
      </c>
    </row>
    <row r="91" spans="1:4" x14ac:dyDescent="0.2">
      <c r="A91" t="s">
        <v>113</v>
      </c>
      <c r="B91" s="10">
        <v>-31812</v>
      </c>
      <c r="C91" s="10">
        <v>-7100</v>
      </c>
      <c r="D91" s="10">
        <v>-12731</v>
      </c>
    </row>
    <row r="92" spans="1:4" s="9" customFormat="1" x14ac:dyDescent="0.2">
      <c r="A92" s="18" t="s">
        <v>114</v>
      </c>
      <c r="B92" s="17">
        <f>SUM(B87:B91)</f>
        <v>-24281</v>
      </c>
      <c r="C92" s="17">
        <f>SUM(C87:C91)</f>
        <v>-12369</v>
      </c>
      <c r="D92" s="17">
        <f>SUM(D87:D91)</f>
        <v>-28794</v>
      </c>
    </row>
    <row r="93" spans="1:4" x14ac:dyDescent="0.2">
      <c r="A93" s="18" t="s">
        <v>115</v>
      </c>
      <c r="B93" s="10"/>
      <c r="C93" s="10"/>
      <c r="D93" s="10"/>
    </row>
    <row r="94" spans="1:4" x14ac:dyDescent="0.2">
      <c r="A94" t="s">
        <v>125</v>
      </c>
      <c r="B94" s="24">
        <v>1402</v>
      </c>
      <c r="C94" s="24">
        <v>886</v>
      </c>
      <c r="D94" s="27" t="s">
        <v>140</v>
      </c>
    </row>
    <row r="95" spans="1:4" x14ac:dyDescent="0.2">
      <c r="A95" t="s">
        <v>126</v>
      </c>
      <c r="B95" s="10">
        <v>-1518</v>
      </c>
      <c r="C95" s="26">
        <v>-813</v>
      </c>
      <c r="D95" s="28" t="s">
        <v>140</v>
      </c>
    </row>
    <row r="96" spans="1:4" x14ac:dyDescent="0.2">
      <c r="A96" t="s">
        <v>127</v>
      </c>
      <c r="B96" s="10">
        <v>871</v>
      </c>
      <c r="C96" s="26">
        <v>182</v>
      </c>
      <c r="D96" s="10">
        <v>16228</v>
      </c>
    </row>
    <row r="97" spans="1:4" x14ac:dyDescent="0.2">
      <c r="A97" t="s">
        <v>128</v>
      </c>
      <c r="B97" s="10">
        <v>-1166</v>
      </c>
      <c r="C97" s="26">
        <v>-155</v>
      </c>
      <c r="D97" s="10">
        <v>-1301</v>
      </c>
    </row>
    <row r="98" spans="1:4" x14ac:dyDescent="0.2">
      <c r="A98" t="s">
        <v>129</v>
      </c>
      <c r="B98" s="10">
        <v>-9628</v>
      </c>
      <c r="C98" s="26">
        <v>-7449</v>
      </c>
      <c r="D98" s="10">
        <v>-4799</v>
      </c>
    </row>
    <row r="99" spans="1:4" x14ac:dyDescent="0.2">
      <c r="A99" t="s">
        <v>130</v>
      </c>
      <c r="B99" s="10">
        <v>-27</v>
      </c>
      <c r="C99" s="26">
        <v>-337</v>
      </c>
      <c r="D99" s="10">
        <v>-200</v>
      </c>
    </row>
    <row r="100" spans="1:4" s="9" customFormat="1" x14ac:dyDescent="0.2">
      <c r="A100" s="18" t="s">
        <v>116</v>
      </c>
      <c r="B100" s="17">
        <f>SUM(B94:B99)</f>
        <v>-10066</v>
      </c>
      <c r="C100" s="17">
        <f>SUM(C94:C99)</f>
        <v>-7686</v>
      </c>
      <c r="D100" s="17">
        <f>SUM(D94:D99)</f>
        <v>9928</v>
      </c>
    </row>
    <row r="101" spans="1:4" x14ac:dyDescent="0.2">
      <c r="A101" s="1" t="s">
        <v>117</v>
      </c>
      <c r="B101" s="10">
        <f>+B85+B92+B100</f>
        <v>-36785</v>
      </c>
      <c r="C101" s="10">
        <f>+C85+C92+C100</f>
        <v>-21098</v>
      </c>
      <c r="D101" s="10">
        <f>+D85+D92+D100</f>
        <v>-30988</v>
      </c>
    </row>
    <row r="102" spans="1:4" s="9" customFormat="1" x14ac:dyDescent="0.2">
      <c r="A102" s="18" t="s">
        <v>118</v>
      </c>
      <c r="B102" s="17">
        <v>36410</v>
      </c>
      <c r="C102" s="17">
        <v>32173</v>
      </c>
      <c r="D102" s="17">
        <v>21856</v>
      </c>
    </row>
    <row r="103" spans="1:4" x14ac:dyDescent="0.2">
      <c r="B103" s="10"/>
      <c r="C103" s="10"/>
      <c r="D103" s="10"/>
    </row>
    <row r="104" spans="1:4" x14ac:dyDescent="0.2">
      <c r="B104" s="10"/>
      <c r="C104" s="10"/>
      <c r="D104" s="10"/>
    </row>
  </sheetData>
  <mergeCells count="6">
    <mergeCell ref="B68:D68"/>
    <mergeCell ref="A2:D2"/>
    <mergeCell ref="B3:D3"/>
    <mergeCell ref="A31:D31"/>
    <mergeCell ref="B32:D32"/>
    <mergeCell ref="A67:D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14" workbookViewId="0">
      <selection activeCell="B22" sqref="B22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0.6640625" bestFit="1" customWidth="1"/>
  </cols>
  <sheetData>
    <row r="1" spans="1:10" ht="60" customHeight="1" x14ac:dyDescent="0.3">
      <c r="A1" s="7"/>
      <c r="B1" s="20" t="s">
        <v>132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36" t="s">
        <v>58</v>
      </c>
      <c r="D2" s="36"/>
      <c r="E2" s="36"/>
    </row>
    <row r="3" spans="1:10" x14ac:dyDescent="0.2">
      <c r="C3" s="9">
        <v>2019</v>
      </c>
      <c r="D3" s="9">
        <v>2018</v>
      </c>
      <c r="E3" s="9">
        <v>2017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  <c r="C5" s="29">
        <f>'Financial Statements'!B41/'Financial Statements'!B53</f>
        <v>1.2999548600662052</v>
      </c>
      <c r="D5" s="29">
        <f>'Financial Statements'!C41/'Financial Statements'!C53</f>
        <v>1.0981123247210891</v>
      </c>
      <c r="E5" s="29">
        <f>'Financial Statements'!D41/'Financial Statements'!D53</f>
        <v>1.039977195376881</v>
      </c>
    </row>
    <row r="6" spans="1:10" x14ac:dyDescent="0.2">
      <c r="A6" s="22">
        <f t="shared" ref="A6:A13" si="0">+A5+0.1</f>
        <v>1.2000000000000002</v>
      </c>
      <c r="B6" s="1" t="s">
        <v>16</v>
      </c>
      <c r="C6" s="29">
        <f>('Financial Statements'!B41-'Financial Statements'!B39)/'Financial Statements'!B53</f>
        <v>1.1010465777242786</v>
      </c>
      <c r="D6" s="29">
        <f>('Financial Statements'!C41-'Financial Statements'!C39)/'Financial Statements'!C53</f>
        <v>0.84699741194016753</v>
      </c>
      <c r="E6" s="29">
        <f>('Financial Statements'!D41-'Financial Statements'!D39)/'Financial Statements'!D53</f>
        <v>0.76274553841369663</v>
      </c>
    </row>
    <row r="7" spans="1:10" x14ac:dyDescent="0.2">
      <c r="A7" s="22">
        <f t="shared" si="0"/>
        <v>1.3000000000000003</v>
      </c>
      <c r="B7" s="1" t="s">
        <v>17</v>
      </c>
      <c r="C7" s="29">
        <f>'Financial Statements'!B36/'Financial Statements'!B53</f>
        <v>0.35210820209315546</v>
      </c>
      <c r="D7" s="29">
        <f>'Financial Statements'!C36/'Financial Statements'!C53</f>
        <v>0.46424237107221711</v>
      </c>
      <c r="E7" s="29">
        <f>'Financial Statements'!D36/'Financial Statements'!D53</f>
        <v>0.35454278458269267</v>
      </c>
    </row>
    <row r="8" spans="1:10" x14ac:dyDescent="0.2">
      <c r="A8" s="22">
        <f t="shared" si="0"/>
        <v>1.4000000000000004</v>
      </c>
      <c r="B8" s="1" t="s">
        <v>18</v>
      </c>
      <c r="C8" s="30">
        <f>('Financial Statements'!B36+'Financial Statements'!B37+'Financial Statements'!B38)/('Financial Statements'!B17/365)</f>
        <v>2734.5003782408362</v>
      </c>
      <c r="D8" s="30">
        <f>('Financial Statements'!C36+'Financial Statements'!C37+'Financial Statements'!C38)/('Financial Statements'!C17/365)</f>
        <v>1702.2264712986071</v>
      </c>
      <c r="E8" s="30">
        <f>('Financial Statements'!D36+'Financial Statements'!D37+'Financial Statements'!D38)/('Financial Statements'!D17/365)</f>
        <v>3924.6833901607406</v>
      </c>
    </row>
    <row r="9" spans="1:10" x14ac:dyDescent="0.2">
      <c r="A9" s="22">
        <f t="shared" si="0"/>
        <v>1.5000000000000004</v>
      </c>
      <c r="B9" s="1" t="s">
        <v>19</v>
      </c>
      <c r="C9" s="30">
        <f>(('Financial Statements'!B39+'Financial Statements'!C39)/2/'Financial Statements'!B16)*365</f>
        <v>28.110438339580647</v>
      </c>
      <c r="D9" s="30">
        <f>(('Financial Statements'!C39+'Financial Statements'!D39)/2/'Financial Statements'!C16)*365</f>
        <v>27.500079377318954</v>
      </c>
      <c r="E9" s="30">
        <f>(('Financial Statements'!D39+'Financial Statements'!E39)/2/'Financial Statements'!D16)*365</f>
        <v>16.854152279005525</v>
      </c>
    </row>
    <row r="10" spans="1:10" x14ac:dyDescent="0.2">
      <c r="A10" s="22">
        <f t="shared" si="0"/>
        <v>1.6000000000000005</v>
      </c>
      <c r="B10" s="1" t="s">
        <v>20</v>
      </c>
      <c r="C10" s="30">
        <f>(('Financial Statements'!C49+'Financial Statements'!B49)/2/'Financial Statements'!B16)*365</f>
        <v>58.579137231606772</v>
      </c>
      <c r="D10" s="30">
        <f>(('Financial Statements'!D49+'Financial Statements'!C49)/2/'Financial Statements'!C16)*365</f>
        <v>60.269882884435688</v>
      </c>
      <c r="E10" s="30">
        <f>(('Financial Statements'!E49+'Financial Statements'!D49)/2/'Financial Statements'!D16)*365</f>
        <v>36.357159300184158</v>
      </c>
    </row>
    <row r="11" spans="1:10" x14ac:dyDescent="0.2">
      <c r="A11" s="22">
        <f t="shared" si="0"/>
        <v>1.7000000000000006</v>
      </c>
      <c r="B11" s="1" t="s">
        <v>21</v>
      </c>
      <c r="C11" s="30">
        <f>(('Financial Statements'!C38+'Financial Statements'!B38)/2/'Financial Statements'!B8)*365</f>
        <v>26.815962740890196</v>
      </c>
      <c r="D11" s="30">
        <f>(('Financial Statements'!D38+'Financial Statements'!C38)/2/'Financial Statements'!C8)*365</f>
        <v>23.384656507233121</v>
      </c>
      <c r="E11" s="30">
        <f>(('Financial Statements'!E38+'Financial Statements'!D38)/2/'Financial Statements'!D8)*365</f>
        <v>13.506965918163113</v>
      </c>
    </row>
    <row r="12" spans="1:10" x14ac:dyDescent="0.2">
      <c r="A12" s="22">
        <f t="shared" si="0"/>
        <v>1.8000000000000007</v>
      </c>
      <c r="B12" s="1" t="s">
        <v>22</v>
      </c>
      <c r="C12" s="30">
        <f>(C9+C11)-C10</f>
        <v>-3.6527361511359331</v>
      </c>
      <c r="D12" s="30">
        <f t="shared" ref="D12:E12" si="1">(D9+D11)-D10</f>
        <v>-9.3851469998836166</v>
      </c>
      <c r="E12" s="30">
        <f t="shared" si="1"/>
        <v>-5.9960411030155214</v>
      </c>
    </row>
    <row r="13" spans="1:10" x14ac:dyDescent="0.2">
      <c r="A13" s="22">
        <f t="shared" si="0"/>
        <v>1.9000000000000008</v>
      </c>
      <c r="B13" s="1" t="s">
        <v>23</v>
      </c>
      <c r="C13" s="32">
        <f>(C14/'Financial Statements'!B8)</f>
        <v>0.12791510113288798</v>
      </c>
      <c r="D13" s="32">
        <f>(D14/'Financial Statements'!C8)</f>
        <v>2.8812256587958968E-2</v>
      </c>
      <c r="E13" s="32">
        <f>(E14/'Financial Statements'!D8)</f>
        <v>1.3009793889782196E-2</v>
      </c>
    </row>
    <row r="14" spans="1:10" x14ac:dyDescent="0.2">
      <c r="A14" s="22"/>
      <c r="B14" s="19" t="s">
        <v>24</v>
      </c>
      <c r="C14" s="10">
        <f>'Financial Statements'!B41-'Financial Statements'!B53</f>
        <v>35883</v>
      </c>
      <c r="D14" s="10">
        <f>'Financial Statements'!C41-'Financial Statements'!C53</f>
        <v>6710</v>
      </c>
      <c r="E14" s="10">
        <f>'Financial Statements'!D41-'Financial Statements'!D53</f>
        <v>2314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25</v>
      </c>
    </row>
    <row r="17" spans="1:5" x14ac:dyDescent="0.2">
      <c r="A17" s="22">
        <f>+A16+0.1</f>
        <v>2.1</v>
      </c>
      <c r="B17" s="1" t="s">
        <v>11</v>
      </c>
      <c r="C17" s="31">
        <f>('Financial Statements'!B8-'Financial Statements'!B10)/'Financial Statements'!B8</f>
        <v>0.40990011478600608</v>
      </c>
      <c r="D17" s="31">
        <f>('Financial Statements'!C8-'Financial Statements'!C10)/'Financial Statements'!C8</f>
        <v>0.40247416128852193</v>
      </c>
      <c r="E17" s="31">
        <f>('Financial Statements'!D8-'Financial Statements'!D10)/'Financial Statements'!D8</f>
        <v>0.3706835482891615</v>
      </c>
    </row>
    <row r="18" spans="1:5" x14ac:dyDescent="0.2">
      <c r="A18" s="22">
        <f>+A17+0.1</f>
        <v>2.2000000000000002</v>
      </c>
      <c r="B18" s="1" t="s">
        <v>26</v>
      </c>
      <c r="C18" s="31">
        <f>C19/'Financial Statements'!B8</f>
        <v>0.15397722816748777</v>
      </c>
      <c r="D18" s="31">
        <f>D19/'Financial Statements'!C8</f>
        <v>0.14247252959589843</v>
      </c>
      <c r="E18" s="31">
        <f>E19/'Financial Statements'!D8</f>
        <v>0.11131413536032744</v>
      </c>
    </row>
    <row r="19" spans="1:5" x14ac:dyDescent="0.2">
      <c r="A19" s="22"/>
      <c r="B19" s="19" t="s">
        <v>27</v>
      </c>
      <c r="C19" s="10">
        <f>'Financial Statements'!B17+'Financial Statements'!B75+'Financial Statements'!B76</f>
        <v>43194</v>
      </c>
      <c r="D19" s="10">
        <f>'Financial Statements'!C17+'Financial Statements'!C75+'Financial Statements'!C76</f>
        <v>33180</v>
      </c>
      <c r="E19" s="10">
        <f>'Financial Statements'!D17+'Financial Statements'!D75+'Financial Statements'!D76</f>
        <v>19799</v>
      </c>
    </row>
    <row r="20" spans="1:5" x14ac:dyDescent="0.2">
      <c r="A20" s="22">
        <f>+A18+0.1</f>
        <v>2.3000000000000003</v>
      </c>
      <c r="B20" s="1" t="s">
        <v>28</v>
      </c>
      <c r="C20" s="31">
        <f>C21/'Financial Statements'!B8</f>
        <v>5.1835506662579051E-2</v>
      </c>
      <c r="D20" s="31">
        <f>D21/'Financial Statements'!C8</f>
        <v>5.3334879147397665E-2</v>
      </c>
      <c r="E20" s="31">
        <f>E21/'Financial Statements'!D8</f>
        <v>2.3084794170892695E-2</v>
      </c>
    </row>
    <row r="21" spans="1:5" x14ac:dyDescent="0.2">
      <c r="A21" s="22"/>
      <c r="B21" s="19" t="s">
        <v>29</v>
      </c>
      <c r="C21" s="10">
        <f>'Financial Statements'!B17</f>
        <v>14541</v>
      </c>
      <c r="D21" s="10">
        <f>'Financial Statements'!C17</f>
        <v>12421</v>
      </c>
      <c r="E21" s="10">
        <f>'Financial Statements'!D17</f>
        <v>4106</v>
      </c>
    </row>
    <row r="22" spans="1:5" x14ac:dyDescent="0.2">
      <c r="A22" s="22">
        <f>+A20+0.1</f>
        <v>2.4000000000000004</v>
      </c>
      <c r="B22" s="1" t="s">
        <v>30</v>
      </c>
      <c r="C22" s="31">
        <f>'Financial Statements'!B22/'Financial Statements'!B8</f>
        <v>-4.1308703060722513E-2</v>
      </c>
      <c r="D22" s="31">
        <f>'Financial Statements'!C22/'Financial Statements'!C8</f>
        <v>-4.3252736305590261E-2</v>
      </c>
      <c r="E22" s="31">
        <f>'Financial Statements'!D22/'Financial Statements'!D8</f>
        <v>-1.7052162864178651E-2</v>
      </c>
    </row>
    <row r="23" spans="1:5" x14ac:dyDescent="0.2">
      <c r="A23" s="22"/>
    </row>
    <row r="24" spans="1:5" x14ac:dyDescent="0.2">
      <c r="A24" s="22">
        <f>+A16+1</f>
        <v>3</v>
      </c>
      <c r="B24" s="9" t="s">
        <v>31</v>
      </c>
    </row>
    <row r="25" spans="1:5" x14ac:dyDescent="0.2">
      <c r="A25" s="22">
        <f>+A24+0.1</f>
        <v>3.1</v>
      </c>
      <c r="B25" s="1" t="s">
        <v>32</v>
      </c>
      <c r="C25" s="29">
        <f>'Financial Statements'!B58/'Financial Statements'!B64</f>
        <v>3.0489526264904931</v>
      </c>
      <c r="D25" s="29">
        <f>'Financial Statements'!C58/'Financial Statements'!C64</f>
        <v>2.1953202140118027</v>
      </c>
      <c r="E25" s="29">
        <f>'Financial Statements'!D58/'Financial Statements'!D64</f>
        <v>3.7388935003067596</v>
      </c>
    </row>
    <row r="26" spans="1:5" x14ac:dyDescent="0.2">
      <c r="A26" s="22">
        <f t="shared" ref="A26:A30" si="2">+A25+0.1</f>
        <v>3.2</v>
      </c>
      <c r="B26" s="1" t="s">
        <v>33</v>
      </c>
      <c r="C26" s="29">
        <f>'Financial Statements'!B58/'Financial Statements'!B46</f>
        <v>0.55009550168181809</v>
      </c>
      <c r="D26" s="29">
        <f>'Financial Statements'!C58/'Financial Statements'!C46</f>
        <v>0.58779696030692041</v>
      </c>
      <c r="E26" s="29">
        <f>'Financial Statements'!D58/'Financial Statements'!D46</f>
        <v>0.78898027568349705</v>
      </c>
    </row>
    <row r="27" spans="1:5" x14ac:dyDescent="0.2">
      <c r="A27" s="22">
        <f t="shared" si="2"/>
        <v>3.3000000000000003</v>
      </c>
      <c r="B27" s="1" t="s">
        <v>34</v>
      </c>
      <c r="C27" s="34" t="s">
        <v>140</v>
      </c>
      <c r="D27" s="34" t="s">
        <v>140</v>
      </c>
      <c r="E27" s="34" t="s">
        <v>140</v>
      </c>
    </row>
    <row r="28" spans="1:5" x14ac:dyDescent="0.2">
      <c r="A28" s="22">
        <f t="shared" si="2"/>
        <v>3.4000000000000004</v>
      </c>
      <c r="B28" s="1" t="s">
        <v>35</v>
      </c>
      <c r="C28" s="34" t="s">
        <v>140</v>
      </c>
      <c r="D28" s="34" t="s">
        <v>140</v>
      </c>
      <c r="E28" s="34" t="s">
        <v>140</v>
      </c>
    </row>
    <row r="29" spans="1:5" x14ac:dyDescent="0.2">
      <c r="A29" s="22">
        <f t="shared" si="2"/>
        <v>3.5000000000000004</v>
      </c>
      <c r="B29" s="1" t="s">
        <v>36</v>
      </c>
      <c r="C29" s="33">
        <f>C19/'Financial Statements'!B52</f>
        <v>1.3576188081468443</v>
      </c>
      <c r="D29" s="34" t="s">
        <v>140</v>
      </c>
      <c r="E29" s="34" t="s">
        <v>140</v>
      </c>
    </row>
    <row r="30" spans="1:5" x14ac:dyDescent="0.2">
      <c r="A30" s="22">
        <f t="shared" si="2"/>
        <v>3.6000000000000005</v>
      </c>
      <c r="B30" s="1" t="s">
        <v>37</v>
      </c>
    </row>
    <row r="31" spans="1:5" x14ac:dyDescent="0.2">
      <c r="A31" s="22"/>
      <c r="B31" s="19" t="s">
        <v>38</v>
      </c>
    </row>
    <row r="32" spans="1:5" x14ac:dyDescent="0.2">
      <c r="A32" s="22"/>
    </row>
    <row r="33" spans="1:5" x14ac:dyDescent="0.2">
      <c r="A33" s="22">
        <f>+A24+1</f>
        <v>4</v>
      </c>
      <c r="B33" s="23" t="s">
        <v>39</v>
      </c>
    </row>
    <row r="34" spans="1:5" x14ac:dyDescent="0.2">
      <c r="A34" s="22">
        <f>+A33+0.1</f>
        <v>4.0999999999999996</v>
      </c>
      <c r="B34" s="1" t="s">
        <v>40</v>
      </c>
      <c r="C34" s="29">
        <f>'Financial Statements'!B8/'Financial Statements'!B46</f>
        <v>0.81553494024240269</v>
      </c>
      <c r="D34" s="29">
        <f>'Financial Statements'!C8/'Financial Statements'!C46</f>
        <v>1.431846687324775</v>
      </c>
      <c r="E34" s="29">
        <f>'Financial Statements'!D8/'Financial Statements'!D46</f>
        <v>1.3545503008148656</v>
      </c>
    </row>
    <row r="35" spans="1:5" x14ac:dyDescent="0.2">
      <c r="A35" s="22">
        <f t="shared" ref="A35:A37" si="3">+A34+0.1</f>
        <v>4.1999999999999993</v>
      </c>
      <c r="B35" s="1" t="s">
        <v>41</v>
      </c>
      <c r="C35" s="29">
        <f>'Financial Statements'!B8/'Financial Statements'!B43</f>
        <v>2.4799936347401736</v>
      </c>
      <c r="D35" s="29">
        <f>'Financial Statements'!C8/'Financial Statements'!C43</f>
        <v>3.7685809990776251</v>
      </c>
      <c r="E35" s="29">
        <f>'Financial Statements'!D8/'Financial Statements'!D43</f>
        <v>3.6398723038513485</v>
      </c>
    </row>
    <row r="36" spans="1:5" x14ac:dyDescent="0.2">
      <c r="A36" s="22">
        <f t="shared" si="3"/>
        <v>4.2999999999999989</v>
      </c>
      <c r="B36" s="1" t="s">
        <v>42</v>
      </c>
      <c r="C36" s="30">
        <f>'Financial Statements'!B16/(('Financial Statements'!B39+'Financial Statements'!C39)/2)</f>
        <v>12.984500475969636</v>
      </c>
      <c r="D36" s="30">
        <f>'Financial Statements'!C16/(('Financial Statements'!C39+'Financial Statements'!D39)/2)</f>
        <v>13.27268896180127</v>
      </c>
      <c r="E36" s="30">
        <f>'Financial Statements'!D16/(('Financial Statements'!D39+'Financial Statements'!E39)/2)</f>
        <v>21.656384370910452</v>
      </c>
    </row>
    <row r="37" spans="1:5" x14ac:dyDescent="0.2">
      <c r="A37" s="22">
        <f t="shared" si="3"/>
        <v>4.3999999999999986</v>
      </c>
      <c r="B37" s="1" t="s">
        <v>43</v>
      </c>
      <c r="C37" s="29">
        <f>'Financial Statements'!B22/'Financial Statements'!B46</f>
        <v>-3.3688690682117495E-2</v>
      </c>
      <c r="D37" s="29">
        <f>'Financial Statements'!C22/'Financial Statements'!C46</f>
        <v>-6.1931287196891449E-2</v>
      </c>
      <c r="E37" s="29">
        <f>'Financial Statements'!D22/'Financial Statements'!D46</f>
        <v>-2.3098012337217273E-2</v>
      </c>
    </row>
    <row r="38" spans="1:5" x14ac:dyDescent="0.2">
      <c r="A38" s="22"/>
    </row>
    <row r="39" spans="1:5" x14ac:dyDescent="0.2">
      <c r="A39" s="22">
        <f>+A33+1</f>
        <v>5</v>
      </c>
      <c r="B39" s="23" t="s">
        <v>44</v>
      </c>
    </row>
    <row r="40" spans="1:5" x14ac:dyDescent="0.2">
      <c r="A40" s="22">
        <f>+A39+0.1</f>
        <v>5.0999999999999996</v>
      </c>
      <c r="B40" s="1" t="s">
        <v>45</v>
      </c>
      <c r="C40" s="29">
        <f>100/'Financial Statements'!B28</f>
        <v>0.1984126984126984</v>
      </c>
      <c r="D40" s="29">
        <f>80/'Financial Statements'!C28</f>
        <v>0.16</v>
      </c>
      <c r="E40" s="29">
        <f>60/'Financial Statements'!D28</f>
        <v>0.12170385395537525</v>
      </c>
    </row>
    <row r="41" spans="1:5" x14ac:dyDescent="0.2">
      <c r="A41" s="22">
        <f t="shared" ref="A41:A44" si="4">+A40+0.1</f>
        <v>5.1999999999999993</v>
      </c>
      <c r="B41" s="19" t="s">
        <v>46</v>
      </c>
      <c r="C41">
        <f>SUM('Financial Statements'!B24:B25)</f>
        <v>46.47</v>
      </c>
      <c r="D41">
        <f>SUM('Financial Statements'!C24:C25)</f>
        <v>40.82</v>
      </c>
      <c r="E41">
        <f>SUM('Financial Statements'!D24:D25)</f>
        <v>12.47</v>
      </c>
    </row>
    <row r="42" spans="1:5" x14ac:dyDescent="0.2">
      <c r="A42" s="22">
        <f t="shared" si="4"/>
        <v>5.2999999999999989</v>
      </c>
      <c r="B42" s="1" t="s">
        <v>47</v>
      </c>
      <c r="C42" s="33">
        <f>100/C43</f>
        <v>0.79600386722526584</v>
      </c>
      <c r="D42" s="33">
        <f t="shared" ref="D42:E42" si="5">100/D43</f>
        <v>1.118280557532894</v>
      </c>
      <c r="E42" s="33">
        <f t="shared" si="5"/>
        <v>1.7322891479302753</v>
      </c>
    </row>
    <row r="43" spans="1:5" x14ac:dyDescent="0.2">
      <c r="A43" s="22">
        <f t="shared" si="4"/>
        <v>5.3999999999999986</v>
      </c>
      <c r="B43" s="19" t="s">
        <v>48</v>
      </c>
      <c r="C43" s="10">
        <f>('Financial Statements'!B64/'Financial Statements'!B27)</f>
        <v>125.62753036437248</v>
      </c>
      <c r="D43" s="10">
        <f>('Financial Statements'!C64/'Financial Statements'!C27)</f>
        <v>89.422997946611915</v>
      </c>
      <c r="E43" s="10">
        <f>('Financial Statements'!D64/'Financial Statements'!D27)</f>
        <v>57.727083333333333</v>
      </c>
    </row>
    <row r="44" spans="1:5" x14ac:dyDescent="0.2">
      <c r="A44" s="22">
        <f t="shared" si="4"/>
        <v>5.4999999999999982</v>
      </c>
      <c r="B44" s="1" t="s">
        <v>49</v>
      </c>
      <c r="C44" s="29">
        <f>-'Financial Statements'!B100/'Financial Statements'!B73</f>
        <v>0.86865723161891617</v>
      </c>
      <c r="D44" s="29">
        <f>-'Financial Statements'!C100/'Financial Statements'!C73</f>
        <v>0.7630298818624045</v>
      </c>
      <c r="E44" s="29">
        <f>-'Financial Statements'!D100/'Financial Statements'!D73</f>
        <v>-3.2733267392021101</v>
      </c>
    </row>
    <row r="45" spans="1:5" x14ac:dyDescent="0.2">
      <c r="A45" s="22"/>
      <c r="B45" s="19" t="s">
        <v>50</v>
      </c>
      <c r="C45" s="35" t="s">
        <v>140</v>
      </c>
      <c r="D45" s="35" t="s">
        <v>140</v>
      </c>
      <c r="E45" s="35" t="s">
        <v>140</v>
      </c>
    </row>
    <row r="46" spans="1:5" x14ac:dyDescent="0.2">
      <c r="A46" s="22">
        <f>+A44+0.1</f>
        <v>5.5999999999999979</v>
      </c>
      <c r="B46" s="1" t="s">
        <v>51</v>
      </c>
      <c r="C46" s="35" t="s">
        <v>140</v>
      </c>
      <c r="D46" s="35" t="s">
        <v>140</v>
      </c>
      <c r="E46" s="35" t="s">
        <v>140</v>
      </c>
    </row>
    <row r="47" spans="1:5" x14ac:dyDescent="0.2">
      <c r="A47" s="22">
        <f t="shared" ref="A47:A50" si="6">+A45+0.1</f>
        <v>0.1</v>
      </c>
      <c r="B47" s="1" t="s">
        <v>52</v>
      </c>
      <c r="C47" s="35" t="s">
        <v>140</v>
      </c>
      <c r="D47" s="35" t="s">
        <v>140</v>
      </c>
      <c r="E47" s="35" t="s">
        <v>140</v>
      </c>
    </row>
    <row r="48" spans="1:5" x14ac:dyDescent="0.2">
      <c r="A48" s="22">
        <f t="shared" si="6"/>
        <v>5.6999999999999975</v>
      </c>
      <c r="B48" s="1" t="s">
        <v>53</v>
      </c>
      <c r="C48" s="35" t="s">
        <v>140</v>
      </c>
      <c r="D48" s="35" t="s">
        <v>140</v>
      </c>
      <c r="E48" s="35" t="s">
        <v>140</v>
      </c>
    </row>
    <row r="49" spans="1:5" x14ac:dyDescent="0.2">
      <c r="A49" s="22">
        <f t="shared" si="6"/>
        <v>0.2</v>
      </c>
      <c r="B49" s="1" t="s">
        <v>43</v>
      </c>
      <c r="C49" s="35" t="s">
        <v>140</v>
      </c>
      <c r="D49" s="35" t="s">
        <v>140</v>
      </c>
      <c r="E49" s="35" t="s">
        <v>140</v>
      </c>
    </row>
    <row r="50" spans="1:5" x14ac:dyDescent="0.2">
      <c r="A50" s="22">
        <f t="shared" si="6"/>
        <v>5.7999999999999972</v>
      </c>
      <c r="B50" s="1" t="s">
        <v>54</v>
      </c>
      <c r="C50" s="35" t="s">
        <v>140</v>
      </c>
      <c r="D50" s="35" t="s">
        <v>140</v>
      </c>
      <c r="E50" s="35" t="s">
        <v>140</v>
      </c>
    </row>
    <row r="51" spans="1:5" x14ac:dyDescent="0.2">
      <c r="A51" s="22"/>
      <c r="B51" s="19" t="s">
        <v>55</v>
      </c>
      <c r="C51" s="35" t="s">
        <v>140</v>
      </c>
      <c r="D51" s="35" t="s">
        <v>140</v>
      </c>
      <c r="E51" s="35" t="s">
        <v>140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2020-05-19T16:15:53Z</dcterms:created>
  <dcterms:modified xsi:type="dcterms:W3CDTF">2024-09-09T11:29:44Z</dcterms:modified>
</cp:coreProperties>
</file>