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10 - Linking Balance Sheet/"/>
    </mc:Choice>
  </mc:AlternateContent>
  <xr:revisionPtr revIDLastSave="0" documentId="13_ncr:1_{74898841-324E-5940-908B-6C3814019E7E}" xr6:coauthVersionLast="47" xr6:coauthVersionMax="47" xr10:uidLastSave="{00000000-0000-0000-0000-000000000000}"/>
  <bookViews>
    <workbookView xWindow="140" yWindow="900" windowWidth="29100" windowHeight="167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4" l="1"/>
  <c r="M69" i="4" s="1"/>
  <c r="N68" i="4"/>
  <c r="N69" i="4"/>
  <c r="L69" i="4"/>
  <c r="C69" i="4"/>
  <c r="D69" i="4"/>
  <c r="E69" i="4"/>
  <c r="F69" i="4"/>
  <c r="G69" i="4"/>
  <c r="H69" i="4"/>
  <c r="I69" i="4"/>
  <c r="J69" i="4"/>
  <c r="K69" i="4"/>
  <c r="B69" i="4"/>
  <c r="C68" i="4"/>
  <c r="D68" i="4"/>
  <c r="E68" i="4"/>
  <c r="F68" i="4"/>
  <c r="G68" i="4"/>
  <c r="H68" i="4"/>
  <c r="I68" i="4"/>
  <c r="J68" i="4"/>
  <c r="K68" i="4"/>
  <c r="L68" i="4"/>
  <c r="B68" i="4"/>
  <c r="C67" i="4"/>
  <c r="D67" i="4"/>
  <c r="E67" i="4"/>
  <c r="F67" i="4"/>
  <c r="G67" i="4"/>
  <c r="H67" i="4"/>
  <c r="I67" i="4"/>
  <c r="J67" i="4"/>
  <c r="K67" i="4"/>
  <c r="L67" i="4"/>
  <c r="M67" i="4"/>
  <c r="N67" i="4"/>
  <c r="B67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C64" i="4"/>
  <c r="D64" i="4"/>
  <c r="E64" i="4"/>
  <c r="F64" i="4"/>
  <c r="G64" i="4"/>
  <c r="H64" i="4"/>
  <c r="I64" i="4"/>
  <c r="J64" i="4"/>
  <c r="K64" i="4"/>
  <c r="L64" i="4"/>
  <c r="M64" i="4"/>
  <c r="N64" i="4"/>
  <c r="B64" i="4"/>
  <c r="C63" i="4"/>
  <c r="D63" i="4"/>
  <c r="E63" i="4"/>
  <c r="F63" i="4"/>
  <c r="G63" i="4"/>
  <c r="H63" i="4"/>
  <c r="I63" i="4"/>
  <c r="J63" i="4"/>
  <c r="K63" i="4"/>
  <c r="L63" i="4"/>
  <c r="M63" i="4"/>
  <c r="N63" i="4"/>
  <c r="B63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C59" i="4" l="1"/>
  <c r="D59" i="4"/>
  <c r="E59" i="4"/>
  <c r="F59" i="4"/>
  <c r="G59" i="4"/>
  <c r="H59" i="4"/>
  <c r="I59" i="4"/>
  <c r="J59" i="4"/>
  <c r="K59" i="4"/>
  <c r="L59" i="4"/>
  <c r="M59" i="4"/>
  <c r="N59" i="4"/>
  <c r="B59" i="4"/>
  <c r="C55" i="4"/>
  <c r="D55" i="4"/>
  <c r="E55" i="4"/>
  <c r="F55" i="4"/>
  <c r="G55" i="4"/>
  <c r="H55" i="4"/>
  <c r="I55" i="4"/>
  <c r="J55" i="4"/>
  <c r="K55" i="4"/>
  <c r="L55" i="4"/>
  <c r="M55" i="4"/>
  <c r="N55" i="4"/>
  <c r="B55" i="4"/>
  <c r="C57" i="4"/>
  <c r="D57" i="4"/>
  <c r="E57" i="4"/>
  <c r="F57" i="4"/>
  <c r="G57" i="4"/>
  <c r="H57" i="4"/>
  <c r="I57" i="4"/>
  <c r="J57" i="4"/>
  <c r="K57" i="4"/>
  <c r="L57" i="4"/>
  <c r="M57" i="4"/>
  <c r="N57" i="4"/>
  <c r="B57" i="4"/>
  <c r="C58" i="4"/>
  <c r="D58" i="4"/>
  <c r="E58" i="4"/>
  <c r="F58" i="4"/>
  <c r="G58" i="4"/>
  <c r="H58" i="4"/>
  <c r="I58" i="4"/>
  <c r="J58" i="4"/>
  <c r="K58" i="4"/>
  <c r="L58" i="4"/>
  <c r="M58" i="4"/>
  <c r="N58" i="4"/>
  <c r="B58" i="4"/>
  <c r="C56" i="4"/>
  <c r="D56" i="4"/>
  <c r="E56" i="4"/>
  <c r="F56" i="4"/>
  <c r="G56" i="4"/>
  <c r="H56" i="4"/>
  <c r="I56" i="4"/>
  <c r="J56" i="4"/>
  <c r="K56" i="4"/>
  <c r="L56" i="4"/>
  <c r="M56" i="4"/>
  <c r="N56" i="4"/>
  <c r="B56" i="4"/>
  <c r="C54" i="4"/>
  <c r="D54" i="4"/>
  <c r="E54" i="4"/>
  <c r="F54" i="4"/>
  <c r="G54" i="4"/>
  <c r="H54" i="4"/>
  <c r="I54" i="4"/>
  <c r="J54" i="4"/>
  <c r="K54" i="4"/>
  <c r="L54" i="4"/>
  <c r="M54" i="4"/>
  <c r="N54" i="4"/>
  <c r="B54" i="4"/>
  <c r="C53" i="4"/>
  <c r="D53" i="4"/>
  <c r="E53" i="4"/>
  <c r="F53" i="4"/>
  <c r="G53" i="4"/>
  <c r="H53" i="4"/>
  <c r="I53" i="4"/>
  <c r="J53" i="4"/>
  <c r="K53" i="4"/>
  <c r="L53" i="4"/>
  <c r="M53" i="4"/>
  <c r="N53" i="4"/>
  <c r="B53" i="4"/>
  <c r="D51" i="4"/>
  <c r="E51" i="4"/>
  <c r="F51" i="4"/>
  <c r="G51" i="4"/>
  <c r="H51" i="4"/>
  <c r="I51" i="4"/>
  <c r="J51" i="4"/>
  <c r="K51" i="4"/>
  <c r="C51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H48" i="4"/>
  <c r="I48" i="4"/>
  <c r="J48" i="4"/>
  <c r="K48" i="4"/>
  <c r="L48" i="4"/>
  <c r="M48" i="4"/>
  <c r="N48" i="4"/>
  <c r="B48" i="4"/>
  <c r="C49" i="4"/>
  <c r="D49" i="4"/>
  <c r="E49" i="4"/>
  <c r="F49" i="4"/>
  <c r="G49" i="4"/>
  <c r="H49" i="4"/>
  <c r="I49" i="4"/>
  <c r="J49" i="4"/>
  <c r="K49" i="4"/>
  <c r="L49" i="4"/>
  <c r="M49" i="4"/>
  <c r="N49" i="4"/>
  <c r="B49" i="4"/>
  <c r="C52" i="4"/>
  <c r="D52" i="4"/>
  <c r="E52" i="4"/>
  <c r="F52" i="4"/>
  <c r="G52" i="4"/>
  <c r="H52" i="4"/>
  <c r="I52" i="4"/>
  <c r="J52" i="4"/>
  <c r="K52" i="4"/>
  <c r="L52" i="4"/>
  <c r="M52" i="4"/>
  <c r="N52" i="4"/>
  <c r="B52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C46" i="4"/>
  <c r="D46" i="4"/>
  <c r="E46" i="4"/>
  <c r="F46" i="4"/>
  <c r="G46" i="4"/>
  <c r="H46" i="4"/>
  <c r="I46" i="4"/>
  <c r="J46" i="4"/>
  <c r="K46" i="4"/>
  <c r="L46" i="4"/>
  <c r="M46" i="4"/>
  <c r="N46" i="4"/>
  <c r="B46" i="4"/>
  <c r="K42" i="4" l="1"/>
  <c r="J42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K43" i="4"/>
  <c r="L43" i="4"/>
  <c r="L44" i="4" s="1"/>
  <c r="M43" i="4"/>
  <c r="M44" i="4" s="1"/>
  <c r="N43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K35" i="4"/>
  <c r="J35" i="4"/>
  <c r="C35" i="4"/>
  <c r="D35" i="4"/>
  <c r="E35" i="4"/>
  <c r="F35" i="4"/>
  <c r="G35" i="4"/>
  <c r="H35" i="4"/>
  <c r="I35" i="4"/>
  <c r="B35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43" i="4" s="1"/>
  <c r="C44" i="4" s="1"/>
  <c r="D33" i="4"/>
  <c r="D43" i="4" s="1"/>
  <c r="E33" i="4"/>
  <c r="E43" i="4" s="1"/>
  <c r="F33" i="4"/>
  <c r="G33" i="4"/>
  <c r="H33" i="4"/>
  <c r="I33" i="4"/>
  <c r="B33" i="4"/>
  <c r="C30" i="4"/>
  <c r="D30" i="4"/>
  <c r="E30" i="4"/>
  <c r="F30" i="4"/>
  <c r="F31" i="4" s="1"/>
  <c r="G30" i="4"/>
  <c r="G31" i="4" s="1"/>
  <c r="H30" i="4"/>
  <c r="I30" i="4"/>
  <c r="B30" i="4"/>
  <c r="L31" i="4"/>
  <c r="M31" i="4"/>
  <c r="N31" i="4"/>
  <c r="C31" i="4"/>
  <c r="K25" i="4"/>
  <c r="K31" i="4" s="1"/>
  <c r="J25" i="4"/>
  <c r="J31" i="4" s="1"/>
  <c r="C25" i="4"/>
  <c r="D25" i="4"/>
  <c r="E25" i="4"/>
  <c r="F25" i="4"/>
  <c r="G25" i="4"/>
  <c r="H25" i="4"/>
  <c r="I25" i="4"/>
  <c r="B25" i="4"/>
  <c r="K23" i="4"/>
  <c r="J23" i="4"/>
  <c r="C23" i="4"/>
  <c r="D23" i="4"/>
  <c r="E23" i="4"/>
  <c r="F23" i="4"/>
  <c r="G23" i="4"/>
  <c r="H23" i="4"/>
  <c r="I23" i="4"/>
  <c r="B23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17" i="4"/>
  <c r="D17" i="4"/>
  <c r="E17" i="4"/>
  <c r="F17" i="4"/>
  <c r="G17" i="4"/>
  <c r="H17" i="4"/>
  <c r="I17" i="4"/>
  <c r="B17" i="4"/>
  <c r="J17" i="4"/>
  <c r="K17" i="4"/>
  <c r="L17" i="4"/>
  <c r="M17" i="4"/>
  <c r="N17" i="4"/>
  <c r="J16" i="4"/>
  <c r="K16" i="4"/>
  <c r="L16" i="4"/>
  <c r="M16" i="4"/>
  <c r="N16" i="4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H18" i="4"/>
  <c r="I18" i="4"/>
  <c r="C14" i="4"/>
  <c r="C18" i="4" s="1"/>
  <c r="D14" i="4"/>
  <c r="D18" i="4" s="1"/>
  <c r="E14" i="4"/>
  <c r="E18" i="4" s="1"/>
  <c r="F14" i="4"/>
  <c r="F18" i="4" s="1"/>
  <c r="G14" i="4"/>
  <c r="G18" i="4" s="1"/>
  <c r="H14" i="4"/>
  <c r="I14" i="4"/>
  <c r="J14" i="4"/>
  <c r="K14" i="4"/>
  <c r="L14" i="4"/>
  <c r="M14" i="4"/>
  <c r="N14" i="4"/>
  <c r="B14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121" i="1"/>
  <c r="C120" i="1"/>
  <c r="C119" i="1"/>
  <c r="C26" i="4"/>
  <c r="D26" i="4"/>
  <c r="E26" i="4"/>
  <c r="F26" i="4"/>
  <c r="G26" i="4"/>
  <c r="H26" i="4"/>
  <c r="I26" i="4"/>
  <c r="B26" i="4"/>
  <c r="C21" i="4"/>
  <c r="D21" i="4"/>
  <c r="D31" i="4" s="1"/>
  <c r="E21" i="4"/>
  <c r="E31" i="4" s="1"/>
  <c r="F21" i="4"/>
  <c r="G21" i="4"/>
  <c r="H21" i="4"/>
  <c r="I21" i="4"/>
  <c r="B21" i="4"/>
  <c r="B31" i="4" s="1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H19" i="4" l="1"/>
  <c r="G19" i="4"/>
  <c r="E44" i="4"/>
  <c r="D44" i="4"/>
  <c r="I19" i="4"/>
  <c r="I13" i="4"/>
  <c r="H13" i="4"/>
  <c r="F19" i="4"/>
  <c r="I31" i="4"/>
  <c r="B43" i="4"/>
  <c r="B44" i="4" s="1"/>
  <c r="J43" i="4"/>
  <c r="J44" i="4" s="1"/>
  <c r="G43" i="4"/>
  <c r="G44" i="4" s="1"/>
  <c r="K44" i="4"/>
  <c r="H31" i="4"/>
  <c r="N44" i="4"/>
  <c r="I43" i="4"/>
  <c r="F43" i="4"/>
  <c r="F44" i="4" s="1"/>
  <c r="H43" i="4"/>
  <c r="H44" i="4" s="1"/>
  <c r="C16" i="4"/>
  <c r="C19" i="4" s="1"/>
  <c r="D16" i="4"/>
  <c r="D19" i="4" s="1"/>
  <c r="E16" i="4"/>
  <c r="E19" i="4" s="1"/>
  <c r="F16" i="4"/>
  <c r="G16" i="4"/>
  <c r="H16" i="4"/>
  <c r="I16" i="4"/>
  <c r="B16" i="4"/>
  <c r="B19" i="4" s="1"/>
  <c r="E9" i="4"/>
  <c r="F9" i="4"/>
  <c r="G9" i="4"/>
  <c r="H9" i="4"/>
  <c r="I9" i="4"/>
  <c r="J9" i="4"/>
  <c r="K9" i="4"/>
  <c r="L9" i="4"/>
  <c r="M9" i="4"/>
  <c r="N9" i="4"/>
  <c r="B9" i="4"/>
  <c r="N8" i="4"/>
  <c r="C8" i="4"/>
  <c r="D8" i="4"/>
  <c r="E8" i="4"/>
  <c r="F8" i="4"/>
  <c r="G8" i="4"/>
  <c r="H8" i="4"/>
  <c r="I8" i="4"/>
  <c r="J8" i="4"/>
  <c r="K8" i="4"/>
  <c r="L8" i="4"/>
  <c r="M8" i="4"/>
  <c r="B8" i="4"/>
  <c r="C7" i="4"/>
  <c r="C11" i="4" s="1"/>
  <c r="C13" i="4" s="1"/>
  <c r="D7" i="4"/>
  <c r="D11" i="4" s="1"/>
  <c r="D13" i="4" s="1"/>
  <c r="E7" i="4"/>
  <c r="E11" i="4" s="1"/>
  <c r="E13" i="4" s="1"/>
  <c r="F7" i="4"/>
  <c r="F11" i="4" s="1"/>
  <c r="F13" i="4" s="1"/>
  <c r="G7" i="4"/>
  <c r="G11" i="4" s="1"/>
  <c r="G13" i="4" s="1"/>
  <c r="H7" i="4"/>
  <c r="H11" i="4" s="1"/>
  <c r="I7" i="4"/>
  <c r="I11" i="4" s="1"/>
  <c r="J7" i="4"/>
  <c r="J11" i="4" s="1"/>
  <c r="J13" i="4" s="1"/>
  <c r="K7" i="4"/>
  <c r="K11" i="4" s="1"/>
  <c r="K13" i="4" s="1"/>
  <c r="L7" i="4"/>
  <c r="L11" i="4" s="1"/>
  <c r="L13" i="4" s="1"/>
  <c r="M7" i="4"/>
  <c r="M11" i="4" s="1"/>
  <c r="M13" i="4" s="1"/>
  <c r="N7" i="4"/>
  <c r="N11" i="4" s="1"/>
  <c r="N13" i="4" s="1"/>
  <c r="B7" i="4"/>
  <c r="B11" i="4" s="1"/>
  <c r="B13" i="4" s="1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F4" i="4"/>
  <c r="G4" i="4"/>
  <c r="H4" i="4"/>
  <c r="I4" i="4"/>
  <c r="J4" i="4"/>
  <c r="K4" i="4"/>
  <c r="L4" i="4"/>
  <c r="M4" i="4"/>
  <c r="N4" i="4"/>
  <c r="B4" i="4"/>
  <c r="E3" i="4"/>
  <c r="F3" i="4"/>
  <c r="G3" i="4"/>
  <c r="H3" i="4"/>
  <c r="I3" i="4"/>
  <c r="J3" i="4"/>
  <c r="K3" i="4"/>
  <c r="L3" i="4"/>
  <c r="M3" i="4"/>
  <c r="N3" i="4"/>
  <c r="B3" i="4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C23" i="3"/>
  <c r="D23" i="3"/>
  <c r="E23" i="3"/>
  <c r="F23" i="3"/>
  <c r="G23" i="3"/>
  <c r="H23" i="3"/>
  <c r="I23" i="3"/>
  <c r="B23" i="3"/>
  <c r="C21" i="3"/>
  <c r="D21" i="3"/>
  <c r="E21" i="3"/>
  <c r="F21" i="3"/>
  <c r="G21" i="3"/>
  <c r="H21" i="3"/>
  <c r="I21" i="3"/>
  <c r="B21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E3" i="3"/>
  <c r="F3" i="3"/>
  <c r="G3" i="3"/>
  <c r="H3" i="3"/>
  <c r="I3" i="3"/>
  <c r="B3" i="3"/>
  <c r="I44" i="4" l="1"/>
  <c r="H50" i="3"/>
  <c r="C50" i="3"/>
  <c r="I49" i="3"/>
  <c r="H49" i="3"/>
  <c r="E49" i="3"/>
  <c r="G50" i="3"/>
  <c r="F50" i="3"/>
  <c r="E50" i="3"/>
  <c r="D49" i="3"/>
  <c r="C49" i="3"/>
  <c r="H47" i="3"/>
  <c r="G47" i="3"/>
  <c r="C47" i="3"/>
  <c r="B47" i="3"/>
  <c r="H46" i="3"/>
  <c r="G46" i="3"/>
  <c r="D46" i="3"/>
  <c r="E47" i="3"/>
  <c r="C46" i="3"/>
  <c r="B46" i="3"/>
  <c r="G44" i="3"/>
  <c r="F44" i="3"/>
  <c r="G43" i="3"/>
  <c r="F43" i="3"/>
  <c r="C43" i="3"/>
  <c r="B43" i="3"/>
  <c r="I41" i="3"/>
  <c r="J41" i="3" s="1"/>
  <c r="H41" i="3"/>
  <c r="F41" i="3"/>
  <c r="F40" i="3"/>
  <c r="E40" i="3"/>
  <c r="C40" i="3"/>
  <c r="B40" i="3"/>
  <c r="C39" i="3"/>
  <c r="B39" i="3"/>
  <c r="I40" i="3"/>
  <c r="H40" i="3"/>
  <c r="F39" i="3"/>
  <c r="C41" i="3"/>
  <c r="B41" i="3"/>
  <c r="F35" i="3"/>
  <c r="F37" i="3" s="1"/>
  <c r="C35" i="3"/>
  <c r="J33" i="3"/>
  <c r="K33" i="3" s="1"/>
  <c r="L33" i="3" s="1"/>
  <c r="M33" i="3" s="1"/>
  <c r="N33" i="3" s="1"/>
  <c r="I32" i="3"/>
  <c r="I34" i="3" s="1"/>
  <c r="J34" i="3" s="1"/>
  <c r="K34" i="3" s="1"/>
  <c r="L34" i="3" s="1"/>
  <c r="M34" i="3" s="1"/>
  <c r="N34" i="3" s="1"/>
  <c r="H32" i="3"/>
  <c r="H34" i="3" s="1"/>
  <c r="E32" i="3"/>
  <c r="E34" i="3" s="1"/>
  <c r="J31" i="3"/>
  <c r="K31" i="3" s="1"/>
  <c r="L31" i="3" s="1"/>
  <c r="M31" i="3" s="1"/>
  <c r="N31" i="3" s="1"/>
  <c r="G32" i="3"/>
  <c r="G34" i="3" s="1"/>
  <c r="F32" i="3"/>
  <c r="F34" i="3" s="1"/>
  <c r="D32" i="3"/>
  <c r="D34" i="3" s="1"/>
  <c r="C32" i="3"/>
  <c r="C34" i="3" s="1"/>
  <c r="B32" i="3"/>
  <c r="B34" i="3" s="1"/>
  <c r="J29" i="3"/>
  <c r="K29" i="3" s="1"/>
  <c r="L29" i="3" s="1"/>
  <c r="M29" i="3" s="1"/>
  <c r="N29" i="3" s="1"/>
  <c r="H28" i="3"/>
  <c r="H30" i="3" s="1"/>
  <c r="G28" i="3"/>
  <c r="G30" i="3" s="1"/>
  <c r="F28" i="3"/>
  <c r="F30" i="3" s="1"/>
  <c r="E28" i="3"/>
  <c r="E30" i="3" s="1"/>
  <c r="C28" i="3"/>
  <c r="C30" i="3" s="1"/>
  <c r="B28" i="3"/>
  <c r="B30" i="3" s="1"/>
  <c r="G26" i="3"/>
  <c r="F26" i="3"/>
  <c r="J25" i="3"/>
  <c r="K25" i="3" s="1"/>
  <c r="L25" i="3" s="1"/>
  <c r="M25" i="3" s="1"/>
  <c r="N25" i="3" s="1"/>
  <c r="G24" i="3"/>
  <c r="F24" i="3"/>
  <c r="H24" i="3"/>
  <c r="H26" i="3" s="1"/>
  <c r="E24" i="3"/>
  <c r="E26" i="3" s="1"/>
  <c r="D24" i="3"/>
  <c r="D26" i="3" s="1"/>
  <c r="B24" i="3"/>
  <c r="B26" i="3" s="1"/>
  <c r="K22" i="3"/>
  <c r="L22" i="3" s="1"/>
  <c r="M22" i="3" s="1"/>
  <c r="N22" i="3" s="1"/>
  <c r="H22" i="3"/>
  <c r="G22" i="3"/>
  <c r="E22" i="3"/>
  <c r="F47" i="3"/>
  <c r="E44" i="3"/>
  <c r="D50" i="3"/>
  <c r="A20" i="3"/>
  <c r="H19" i="3"/>
  <c r="G19" i="3"/>
  <c r="H18" i="3"/>
  <c r="G18" i="3"/>
  <c r="F19" i="3"/>
  <c r="E19" i="3"/>
  <c r="C18" i="3"/>
  <c r="B18" i="3"/>
  <c r="G16" i="3"/>
  <c r="F16" i="3"/>
  <c r="G15" i="3"/>
  <c r="F15" i="3"/>
  <c r="I16" i="3"/>
  <c r="J16" i="3" s="1"/>
  <c r="K16" i="3" s="1"/>
  <c r="L16" i="3" s="1"/>
  <c r="M16" i="3" s="1"/>
  <c r="N16" i="3" s="1"/>
  <c r="D15" i="3"/>
  <c r="B15" i="3"/>
  <c r="I13" i="3"/>
  <c r="F12" i="3"/>
  <c r="E12" i="3"/>
  <c r="H5" i="3"/>
  <c r="H10" i="3"/>
  <c r="G10" i="3"/>
  <c r="I9" i="3"/>
  <c r="E9" i="3"/>
  <c r="D9" i="3"/>
  <c r="B9" i="3"/>
  <c r="I10" i="3"/>
  <c r="J10" i="3" s="1"/>
  <c r="K10" i="3" s="1"/>
  <c r="L10" i="3" s="1"/>
  <c r="M10" i="3" s="1"/>
  <c r="N10" i="3" s="1"/>
  <c r="F5" i="3"/>
  <c r="E5" i="3"/>
  <c r="D5" i="3"/>
  <c r="I4" i="3"/>
  <c r="H4" i="3"/>
  <c r="J3" i="3"/>
  <c r="G4" i="3"/>
  <c r="E10" i="3"/>
  <c r="K1" i="3"/>
  <c r="L1" i="3" s="1"/>
  <c r="M1" i="3" s="1"/>
  <c r="N1" i="3" s="1"/>
  <c r="J1" i="3"/>
  <c r="H1" i="3"/>
  <c r="G1" i="3"/>
  <c r="F1" i="3"/>
  <c r="E1" i="3" s="1"/>
  <c r="D1" i="3" s="1"/>
  <c r="C1" i="3" s="1"/>
  <c r="B1" i="3"/>
  <c r="F6" i="3" l="1"/>
  <c r="F7" i="3"/>
  <c r="H7" i="3"/>
  <c r="G35" i="3"/>
  <c r="G40" i="3"/>
  <c r="G41" i="3"/>
  <c r="H39" i="3"/>
  <c r="J14" i="3"/>
  <c r="J15" i="3" s="1"/>
  <c r="C37" i="3"/>
  <c r="I46" i="3"/>
  <c r="I47" i="3"/>
  <c r="J47" i="3" s="1"/>
  <c r="K47" i="3" s="1"/>
  <c r="L47" i="3" s="1"/>
  <c r="M47" i="3" s="1"/>
  <c r="N47" i="3" s="1"/>
  <c r="H15" i="3"/>
  <c r="H16" i="3"/>
  <c r="D18" i="3"/>
  <c r="I43" i="3"/>
  <c r="H9" i="3"/>
  <c r="I22" i="3"/>
  <c r="I50" i="3"/>
  <c r="J50" i="3" s="1"/>
  <c r="K50" i="3" s="1"/>
  <c r="L50" i="3" s="1"/>
  <c r="M50" i="3" s="1"/>
  <c r="N50" i="3" s="1"/>
  <c r="B13" i="3"/>
  <c r="B5" i="3"/>
  <c r="C15" i="3"/>
  <c r="B22" i="3"/>
  <c r="B44" i="3"/>
  <c r="C44" i="3"/>
  <c r="D43" i="3"/>
  <c r="B10" i="3"/>
  <c r="C9" i="3"/>
  <c r="C5" i="3"/>
  <c r="D12" i="3"/>
  <c r="E13" i="3"/>
  <c r="C22" i="3"/>
  <c r="C24" i="3"/>
  <c r="C26" i="3" s="1"/>
  <c r="I28" i="3"/>
  <c r="I30" i="3" s="1"/>
  <c r="J30" i="3" s="1"/>
  <c r="K30" i="3" s="1"/>
  <c r="L30" i="3" s="1"/>
  <c r="M30" i="3" s="1"/>
  <c r="N30" i="3" s="1"/>
  <c r="J27" i="3"/>
  <c r="K27" i="3" s="1"/>
  <c r="L27" i="3" s="1"/>
  <c r="M27" i="3" s="1"/>
  <c r="N27" i="3" s="1"/>
  <c r="D41" i="3"/>
  <c r="D39" i="3"/>
  <c r="D40" i="3"/>
  <c r="D35" i="3"/>
  <c r="D44" i="3"/>
  <c r="B16" i="3"/>
  <c r="B4" i="3"/>
  <c r="F9" i="3"/>
  <c r="F10" i="3"/>
  <c r="H43" i="3"/>
  <c r="H35" i="3"/>
  <c r="H44" i="3"/>
  <c r="E6" i="3"/>
  <c r="E7" i="3"/>
  <c r="I15" i="3"/>
  <c r="I24" i="3"/>
  <c r="I26" i="3" s="1"/>
  <c r="J26" i="3" s="1"/>
  <c r="K26" i="3" s="1"/>
  <c r="L26" i="3" s="1"/>
  <c r="M26" i="3" s="1"/>
  <c r="N26" i="3" s="1"/>
  <c r="I44" i="3"/>
  <c r="I5" i="3"/>
  <c r="J8" i="3"/>
  <c r="J9" i="3" s="1"/>
  <c r="F4" i="3"/>
  <c r="B12" i="3"/>
  <c r="F13" i="3"/>
  <c r="E16" i="3"/>
  <c r="I18" i="3"/>
  <c r="I19" i="3"/>
  <c r="J19" i="3" s="1"/>
  <c r="K19" i="3" s="1"/>
  <c r="L19" i="3" s="1"/>
  <c r="M19" i="3" s="1"/>
  <c r="N19" i="3" s="1"/>
  <c r="D22" i="3"/>
  <c r="E39" i="3"/>
  <c r="G39" i="3"/>
  <c r="E41" i="3"/>
  <c r="G12" i="3"/>
  <c r="G13" i="3"/>
  <c r="G5" i="3"/>
  <c r="H6" i="3" s="1"/>
  <c r="K41" i="3"/>
  <c r="K3" i="3"/>
  <c r="G9" i="3"/>
  <c r="H12" i="3"/>
  <c r="E18" i="3"/>
  <c r="I12" i="3"/>
  <c r="J21" i="3"/>
  <c r="C12" i="3"/>
  <c r="H13" i="3"/>
  <c r="J17" i="3"/>
  <c r="J18" i="3" s="1"/>
  <c r="B19" i="3"/>
  <c r="D28" i="3"/>
  <c r="D30" i="3" s="1"/>
  <c r="D47" i="3"/>
  <c r="B49" i="3"/>
  <c r="B50" i="3"/>
  <c r="E46" i="3"/>
  <c r="F49" i="3"/>
  <c r="E15" i="3"/>
  <c r="F18" i="3"/>
  <c r="F22" i="3"/>
  <c r="J23" i="3"/>
  <c r="K23" i="3" s="1"/>
  <c r="L23" i="3" s="1"/>
  <c r="M23" i="3" s="1"/>
  <c r="N23" i="3" s="1"/>
  <c r="E35" i="3"/>
  <c r="I39" i="3"/>
  <c r="E43" i="3"/>
  <c r="F46" i="3"/>
  <c r="G49" i="3"/>
  <c r="I35" i="3"/>
  <c r="B35" i="3"/>
  <c r="C36" i="3" s="1"/>
  <c r="K8" i="3" l="1"/>
  <c r="K9" i="3" s="1"/>
  <c r="K17" i="3"/>
  <c r="K18" i="3" s="1"/>
  <c r="L3" i="3"/>
  <c r="K14" i="3"/>
  <c r="K15" i="3" s="1"/>
  <c r="E36" i="3"/>
  <c r="E37" i="3"/>
  <c r="D6" i="3"/>
  <c r="C6" i="3"/>
  <c r="H37" i="3"/>
  <c r="H36" i="3"/>
  <c r="F36" i="3"/>
  <c r="K21" i="3"/>
  <c r="J45" i="3"/>
  <c r="J46" i="3" s="1"/>
  <c r="J48" i="3"/>
  <c r="I7" i="3"/>
  <c r="J7" i="3" s="1"/>
  <c r="I6" i="3"/>
  <c r="B36" i="3"/>
  <c r="B37" i="3"/>
  <c r="B7" i="3"/>
  <c r="B6" i="3"/>
  <c r="D36" i="3"/>
  <c r="D37" i="3"/>
  <c r="L41" i="3"/>
  <c r="G37" i="3"/>
  <c r="G36" i="3"/>
  <c r="G6" i="3"/>
  <c r="G7" i="3"/>
  <c r="I37" i="3"/>
  <c r="J37" i="3" s="1"/>
  <c r="K37" i="3" s="1"/>
  <c r="L37" i="3" s="1"/>
  <c r="M37" i="3" s="1"/>
  <c r="N37" i="3" s="1"/>
  <c r="I36" i="3"/>
  <c r="K45" i="3" l="1"/>
  <c r="K46" i="3" s="1"/>
  <c r="K48" i="3"/>
  <c r="K35" i="3"/>
  <c r="L21" i="3"/>
  <c r="J35" i="3"/>
  <c r="L8" i="3"/>
  <c r="L9" i="3" s="1"/>
  <c r="L14" i="3"/>
  <c r="L15" i="3" s="1"/>
  <c r="M3" i="3"/>
  <c r="L17" i="3"/>
  <c r="L18" i="3" s="1"/>
  <c r="M41" i="3"/>
  <c r="K7" i="3"/>
  <c r="J5" i="3"/>
  <c r="K49" i="3"/>
  <c r="J49" i="3"/>
  <c r="J38" i="3"/>
  <c r="J36" i="3" l="1"/>
  <c r="J42" i="3"/>
  <c r="N41" i="3"/>
  <c r="J6" i="3"/>
  <c r="J11" i="3"/>
  <c r="L7" i="3"/>
  <c r="K5" i="3"/>
  <c r="M21" i="3"/>
  <c r="L48" i="3"/>
  <c r="L35" i="3"/>
  <c r="L45" i="3"/>
  <c r="L46" i="3" s="1"/>
  <c r="K36" i="3"/>
  <c r="L49" i="3"/>
  <c r="K38" i="3"/>
  <c r="K42" i="3" s="1"/>
  <c r="J39" i="3"/>
  <c r="J40" i="3"/>
  <c r="M8" i="3"/>
  <c r="M9" i="3" s="1"/>
  <c r="M14" i="3"/>
  <c r="M15" i="3" s="1"/>
  <c r="M17" i="3"/>
  <c r="M18" i="3" s="1"/>
  <c r="N3" i="3"/>
  <c r="K44" i="3" l="1"/>
  <c r="K43" i="3"/>
  <c r="K6" i="3"/>
  <c r="K11" i="3"/>
  <c r="L36" i="3"/>
  <c r="L42" i="3"/>
  <c r="N14" i="3"/>
  <c r="N15" i="3" s="1"/>
  <c r="N17" i="3"/>
  <c r="N18" i="3" s="1"/>
  <c r="N8" i="3"/>
  <c r="N9" i="3" s="1"/>
  <c r="M49" i="3"/>
  <c r="L38" i="3"/>
  <c r="J43" i="3"/>
  <c r="J44" i="3"/>
  <c r="K39" i="3"/>
  <c r="K40" i="3"/>
  <c r="M7" i="3"/>
  <c r="L5" i="3"/>
  <c r="J13" i="3"/>
  <c r="J12" i="3"/>
  <c r="M45" i="3"/>
  <c r="M46" i="3" s="1"/>
  <c r="N21" i="3"/>
  <c r="M35" i="3"/>
  <c r="M48" i="3"/>
  <c r="N48" i="3" l="1"/>
  <c r="N38" i="3" s="1"/>
  <c r="N45" i="3"/>
  <c r="N46" i="3" s="1"/>
  <c r="N35" i="3"/>
  <c r="M36" i="3"/>
  <c r="K13" i="3"/>
  <c r="K12" i="3"/>
  <c r="L11" i="3"/>
  <c r="L6" i="3"/>
  <c r="L44" i="3"/>
  <c r="L43" i="3"/>
  <c r="L39" i="3"/>
  <c r="L40" i="3"/>
  <c r="N49" i="3"/>
  <c r="M38" i="3"/>
  <c r="N7" i="3"/>
  <c r="N5" i="3" s="1"/>
  <c r="M5" i="3"/>
  <c r="M39" i="3" l="1"/>
  <c r="M40" i="3"/>
  <c r="N42" i="3"/>
  <c r="N36" i="3"/>
  <c r="L13" i="3"/>
  <c r="L12" i="3"/>
  <c r="M42" i="3"/>
  <c r="N11" i="3"/>
  <c r="N6" i="3"/>
  <c r="M11" i="3"/>
  <c r="M6" i="3"/>
  <c r="N39" i="3"/>
  <c r="N40" i="3"/>
  <c r="N12" i="3" l="1"/>
  <c r="N13" i="3"/>
  <c r="M12" i="3"/>
  <c r="M13" i="3"/>
  <c r="M44" i="3"/>
  <c r="M43" i="3"/>
  <c r="N43" i="3"/>
  <c r="N44" i="3"/>
  <c r="D182" i="1" l="1"/>
  <c r="C182" i="1"/>
  <c r="B182" i="1"/>
  <c r="D170" i="1"/>
  <c r="C170" i="1"/>
  <c r="B170" i="1"/>
  <c r="D158" i="1"/>
  <c r="C158" i="1"/>
  <c r="B158" i="1"/>
  <c r="B146" i="1"/>
  <c r="C143" i="1"/>
  <c r="D143" i="1"/>
  <c r="E143" i="1"/>
  <c r="F143" i="1"/>
  <c r="G143" i="1"/>
  <c r="H143" i="1"/>
  <c r="I143" i="1"/>
  <c r="G126" i="1"/>
  <c r="F126" i="1"/>
  <c r="E126" i="1"/>
  <c r="I126" i="1" l="1"/>
  <c r="H126" i="1"/>
  <c r="B126" i="1"/>
  <c r="B121" i="1"/>
  <c r="B120" i="1"/>
  <c r="B119" i="1"/>
  <c r="B59" i="1"/>
  <c r="C59" i="1"/>
  <c r="D59" i="1"/>
  <c r="E59" i="1"/>
  <c r="F59" i="1"/>
  <c r="G59" i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F190" i="1" l="1"/>
  <c r="F191" i="1" s="1"/>
  <c r="I187" i="1"/>
  <c r="I190" i="1" s="1"/>
  <c r="I191" i="1" s="1"/>
  <c r="H187" i="1"/>
  <c r="H190" i="1" s="1"/>
  <c r="H191" i="1" s="1"/>
  <c r="G187" i="1"/>
  <c r="G190" i="1" s="1"/>
  <c r="G191" i="1" s="1"/>
  <c r="F187" i="1"/>
  <c r="E187" i="1"/>
  <c r="E190" i="1" s="1"/>
  <c r="E191" i="1" s="1"/>
  <c r="D187" i="1"/>
  <c r="D190" i="1" s="1"/>
  <c r="D191" i="1" s="1"/>
  <c r="C187" i="1"/>
  <c r="C190" i="1" s="1"/>
  <c r="C191" i="1" s="1"/>
  <c r="B187" i="1"/>
  <c r="B190" i="1" s="1"/>
  <c r="B191" i="1" s="1"/>
  <c r="H177" i="1"/>
  <c r="H178" i="1" s="1"/>
  <c r="H179" i="1" s="1"/>
  <c r="I175" i="1"/>
  <c r="I177" i="1" s="1"/>
  <c r="H175" i="1"/>
  <c r="G175" i="1"/>
  <c r="G177" i="1" s="1"/>
  <c r="F175" i="1"/>
  <c r="F177" i="1" s="1"/>
  <c r="E175" i="1"/>
  <c r="E177" i="1" s="1"/>
  <c r="D175" i="1"/>
  <c r="D177" i="1" s="1"/>
  <c r="C175" i="1"/>
  <c r="C177" i="1" s="1"/>
  <c r="B175" i="1"/>
  <c r="B177" i="1" s="1"/>
  <c r="H136" i="1"/>
  <c r="I136" i="1"/>
  <c r="I163" i="1"/>
  <c r="I166" i="1" s="1"/>
  <c r="I167" i="1" s="1"/>
  <c r="H163" i="1"/>
  <c r="H166" i="1" s="1"/>
  <c r="H167" i="1" s="1"/>
  <c r="G163" i="1"/>
  <c r="G166" i="1" s="1"/>
  <c r="G167" i="1" s="1"/>
  <c r="F163" i="1"/>
  <c r="F166" i="1" s="1"/>
  <c r="F167" i="1" s="1"/>
  <c r="E163" i="1"/>
  <c r="E166" i="1" s="1"/>
  <c r="E167" i="1" s="1"/>
  <c r="D163" i="1"/>
  <c r="D166" i="1" s="1"/>
  <c r="D167" i="1" s="1"/>
  <c r="C163" i="1"/>
  <c r="C166" i="1" s="1"/>
  <c r="C167" i="1" s="1"/>
  <c r="B163" i="1"/>
  <c r="B166" i="1" s="1"/>
  <c r="B167" i="1" s="1"/>
  <c r="I178" i="1" l="1"/>
  <c r="I179" i="1" s="1"/>
  <c r="B178" i="1"/>
  <c r="B179" i="1" s="1"/>
  <c r="C178" i="1"/>
  <c r="C179" i="1" s="1"/>
  <c r="D178" i="1"/>
  <c r="D179" i="1" s="1"/>
  <c r="G178" i="1"/>
  <c r="G179" i="1" s="1"/>
  <c r="E178" i="1"/>
  <c r="E179" i="1" s="1"/>
  <c r="F178" i="1"/>
  <c r="F179" i="1" s="1"/>
  <c r="I122" i="1"/>
  <c r="H122" i="1"/>
  <c r="G122" i="1"/>
  <c r="F122" i="1"/>
  <c r="E122" i="1"/>
  <c r="B122" i="1"/>
  <c r="I118" i="1"/>
  <c r="H118" i="1"/>
  <c r="G118" i="1"/>
  <c r="F118" i="1"/>
  <c r="E118" i="1"/>
  <c r="B118" i="1"/>
  <c r="H114" i="1"/>
  <c r="G114" i="1"/>
  <c r="F114" i="1"/>
  <c r="E114" i="1"/>
  <c r="B114" i="1"/>
  <c r="I114" i="1"/>
  <c r="I151" i="1"/>
  <c r="I154" i="1" s="1"/>
  <c r="H151" i="1"/>
  <c r="H154" i="1" s="1"/>
  <c r="G151" i="1"/>
  <c r="G154" i="1" s="1"/>
  <c r="F151" i="1"/>
  <c r="F154" i="1" s="1"/>
  <c r="E151" i="1"/>
  <c r="E154" i="1" s="1"/>
  <c r="D151" i="1"/>
  <c r="D154" i="1" s="1"/>
  <c r="C151" i="1"/>
  <c r="C154" i="1" s="1"/>
  <c r="B151" i="1"/>
  <c r="B154" i="1" s="1"/>
  <c r="D135" i="1" l="1"/>
  <c r="E135" i="1"/>
  <c r="F135" i="1"/>
  <c r="G135" i="1"/>
  <c r="H135" i="1"/>
  <c r="H142" i="1" s="1"/>
  <c r="I135" i="1"/>
  <c r="B135" i="1"/>
  <c r="B142" i="1" s="1"/>
  <c r="C135" i="1"/>
  <c r="E142" i="1" l="1"/>
  <c r="G142" i="1"/>
  <c r="D142" i="1"/>
  <c r="D3" i="3" s="1"/>
  <c r="F142" i="1"/>
  <c r="I142" i="1"/>
  <c r="B143" i="1" s="1"/>
  <c r="C142" i="1"/>
  <c r="C3" i="3" s="1"/>
  <c r="G104" i="1"/>
  <c r="F104" i="1"/>
  <c r="E104" i="1"/>
  <c r="D104" i="1"/>
  <c r="C104" i="1"/>
  <c r="B104" i="1"/>
  <c r="H99" i="1"/>
  <c r="G99" i="1"/>
  <c r="F99" i="1"/>
  <c r="E99" i="1"/>
  <c r="D99" i="1"/>
  <c r="C99" i="1"/>
  <c r="B99" i="1"/>
  <c r="I99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I59" i="1"/>
  <c r="H46" i="1"/>
  <c r="G46" i="1"/>
  <c r="G60" i="1" s="1"/>
  <c r="F46" i="1"/>
  <c r="F60" i="1" s="1"/>
  <c r="E46" i="1"/>
  <c r="E60" i="1" s="1"/>
  <c r="D46" i="1"/>
  <c r="D60" i="1" s="1"/>
  <c r="C46" i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B10" i="1" s="1"/>
  <c r="B155" i="1" s="1"/>
  <c r="I4" i="1"/>
  <c r="I10" i="1" s="1"/>
  <c r="C3" i="4" l="1"/>
  <c r="C13" i="3"/>
  <c r="C9" i="4" s="1"/>
  <c r="C4" i="3"/>
  <c r="C4" i="4" s="1"/>
  <c r="C19" i="3"/>
  <c r="C10" i="3"/>
  <c r="C16" i="3"/>
  <c r="C7" i="3"/>
  <c r="D3" i="4"/>
  <c r="D13" i="3"/>
  <c r="D9" i="4" s="1"/>
  <c r="D19" i="3"/>
  <c r="D16" i="3"/>
  <c r="D10" i="3"/>
  <c r="D7" i="3"/>
  <c r="D4" i="3"/>
  <c r="D4" i="4" s="1"/>
  <c r="E4" i="3"/>
  <c r="E4" i="4" s="1"/>
  <c r="H10" i="1"/>
  <c r="F10" i="1"/>
  <c r="F155" i="1" s="1"/>
  <c r="E10" i="1"/>
  <c r="D10" i="1"/>
  <c r="C10" i="1"/>
  <c r="H60" i="1"/>
  <c r="H61" i="1" s="1"/>
  <c r="C60" i="1"/>
  <c r="C61" i="1" s="1"/>
  <c r="H12" i="1"/>
  <c r="H20" i="1" s="1"/>
  <c r="H155" i="1"/>
  <c r="I12" i="1"/>
  <c r="I20" i="1" s="1"/>
  <c r="I155" i="1"/>
  <c r="B12" i="1"/>
  <c r="B20" i="1" s="1"/>
  <c r="E101" i="1"/>
  <c r="D101" i="1"/>
  <c r="C101" i="1"/>
  <c r="B101" i="1"/>
  <c r="F101" i="1"/>
  <c r="G101" i="1"/>
  <c r="B61" i="1"/>
  <c r="E61" i="1"/>
  <c r="F61" i="1"/>
  <c r="G10" i="1"/>
  <c r="G155" i="1" s="1"/>
  <c r="I60" i="1"/>
  <c r="I61" i="1" s="1"/>
  <c r="G61" i="1"/>
  <c r="D61" i="1"/>
  <c r="F12" i="1" l="1"/>
  <c r="F20" i="1" s="1"/>
  <c r="C12" i="1"/>
  <c r="C20" i="1" s="1"/>
  <c r="C155" i="1"/>
  <c r="D12" i="1"/>
  <c r="D20" i="1" s="1"/>
  <c r="D155" i="1"/>
  <c r="E12" i="1"/>
  <c r="E20" i="1" s="1"/>
  <c r="E155" i="1"/>
  <c r="H65" i="1"/>
  <c r="H77" i="1" s="1"/>
  <c r="H101" i="1" s="1"/>
  <c r="H103" i="1" s="1"/>
  <c r="I102" i="1" s="1"/>
  <c r="I65" i="1"/>
  <c r="I77" i="1" s="1"/>
  <c r="I101" i="1" s="1"/>
  <c r="G12" i="1"/>
  <c r="G20" i="1" s="1"/>
  <c r="H104" i="1" l="1"/>
  <c r="I103" i="1"/>
  <c r="I104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<sst xmlns="http://schemas.openxmlformats.org/spreadsheetml/2006/main" count="421" uniqueCount="211">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</sst>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165" fontId="17" fillId="0" borderId="0" xfId="0" applyNumberFormat="1" applyFont="1"/>
    <xf numFmtId="2" fontId="0" fillId="0" borderId="0" xfId="0" applyNumberFormat="1"/>
    <xf numFmtId="1" fontId="0" fillId="0" borderId="0" xfId="0" applyNumberFormat="1"/>
    <xf numFmtId="166" fontId="11" fillId="0" borderId="0" xfId="2" applyNumberFormat="1" applyFont="1" applyAlignment="1">
      <alignment horizontal="center"/>
    </xf>
    <xf numFmtId="43" fontId="0" fillId="0" borderId="0" xfId="1" applyNumberFormat="1" applyFont="1"/>
    <xf numFmtId="165" fontId="0" fillId="0" borderId="0" xfId="1" applyNumberFormat="1" applyFont="1" applyAlignment="1">
      <alignment horizontal="right"/>
    </xf>
    <xf numFmtId="43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" TargetMode="External"/><Relationship Id="rId2" Type="http://schemas.microsoft.com/office/2019/04/relationships/externalLinkLong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?12335228" TargetMode="External"/><Relationship Id="rId1" Type="http://schemas.openxmlformats.org/officeDocument/2006/relationships/externalLinkPath" Target="file:///12335228/Completed_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  <sheetName val="Historicals"/>
      <sheetName val="Segmental forecast"/>
    </sheetNames>
    <sheetDataSet>
      <sheetData sheetId="0"/>
      <sheetData sheetId="1">
        <row r="114">
          <cell r="A114" t="str">
            <v>North America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30" zoomScaleNormal="13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3"/>
  <sheetViews>
    <sheetView workbookViewId="0">
      <pane ySplit="1" topLeftCell="A92" activePane="bottomLeft" state="frozen"/>
      <selection pane="bottomLeft" activeCell="A88" sqref="A8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 s="63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 s="63">
        <v>3.7</v>
      </c>
      <c r="C15">
        <v>2.16</v>
      </c>
      <c r="D15">
        <v>2.5099999999999998</v>
      </c>
      <c r="E15">
        <v>1.17</v>
      </c>
      <c r="F15">
        <v>2.4900000000000002</v>
      </c>
      <c r="G15" s="63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64">
        <v>861.7</v>
      </c>
      <c r="C17" s="64">
        <v>1709</v>
      </c>
      <c r="D17" s="64">
        <v>1672</v>
      </c>
      <c r="E17" s="64">
        <v>1639.1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64">
        <v>884.4</v>
      </c>
      <c r="C18" s="64">
        <v>1754.5</v>
      </c>
      <c r="D18" s="64">
        <v>1708.9</v>
      </c>
      <c r="E18" s="64">
        <v>1676.9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11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  <c r="K33" s="60"/>
    </row>
    <row r="34" spans="1:11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11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11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11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11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11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11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11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11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11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11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11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11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11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11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204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I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 t="shared" si="13"/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207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208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-1942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I101" si="15">+B77+B86+B99+B100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 t="shared" si="15"/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I104" si="16">+B103-B25</f>
        <v>0</v>
      </c>
      <c r="C104" s="13">
        <f t="shared" si="16"/>
        <v>0</v>
      </c>
      <c r="D104" s="13">
        <f t="shared" si="16"/>
        <v>0</v>
      </c>
      <c r="E104" s="13">
        <f t="shared" si="16"/>
        <v>0</v>
      </c>
      <c r="F104" s="13">
        <f t="shared" si="16"/>
        <v>0</v>
      </c>
      <c r="G104" s="13">
        <f t="shared" si="16"/>
        <v>0</v>
      </c>
      <c r="H104" s="13">
        <f t="shared" si="16"/>
        <v>0</v>
      </c>
      <c r="I104" s="13">
        <f t="shared" si="16"/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H114" si="17">+SUM(B115:B117)</f>
        <v>13740</v>
      </c>
      <c r="C114" s="3">
        <v>14764</v>
      </c>
      <c r="D114" s="3">
        <v>15216</v>
      </c>
      <c r="E114" s="3">
        <f t="shared" si="17"/>
        <v>14855</v>
      </c>
      <c r="F114" s="3">
        <f t="shared" si="17"/>
        <v>15902</v>
      </c>
      <c r="G114" s="3">
        <f t="shared" si="17"/>
        <v>14484</v>
      </c>
      <c r="H114" s="3">
        <f t="shared" si="17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8">+SUM(B119:B121)</f>
        <v>7126</v>
      </c>
      <c r="C118" s="3">
        <v>7568</v>
      </c>
      <c r="D118" s="3">
        <v>7970</v>
      </c>
      <c r="E118" s="3">
        <f t="shared" ref="E118" si="19">+SUM(E119:E121)</f>
        <v>9242</v>
      </c>
      <c r="F118" s="3">
        <f t="shared" ref="F118" si="20">+SUM(F119:F121)</f>
        <v>9812</v>
      </c>
      <c r="G118" s="3">
        <f t="shared" ref="G118" si="21">+SUM(G119:G121)</f>
        <v>9347</v>
      </c>
      <c r="H118" s="3">
        <f t="shared" ref="H118" si="22">+SUM(H119:H121)</f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3">+SUM(B123:B125)</f>
        <v>3067</v>
      </c>
      <c r="C122" s="3">
        <v>3785</v>
      </c>
      <c r="D122" s="3">
        <v>4237</v>
      </c>
      <c r="E122" s="3">
        <f t="shared" ref="E122" si="24">+SUM(E123:E125)</f>
        <v>5134</v>
      </c>
      <c r="F122" s="3">
        <f t="shared" ref="F122" si="25">+SUM(F123:F125)</f>
        <v>6208</v>
      </c>
      <c r="G122" s="3">
        <f t="shared" ref="G122" si="26">+SUM(G123:G125)</f>
        <v>6679</v>
      </c>
      <c r="H122" s="3">
        <f t="shared" ref="H122" si="27">+SUM(H123:H125)</f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:H126" si="28">+SUM(B127:B129)</f>
        <v>755</v>
      </c>
      <c r="C126" s="3">
        <v>4317</v>
      </c>
      <c r="D126" s="3">
        <v>4737</v>
      </c>
      <c r="E126" s="3">
        <f t="shared" ref="E126:G126" si="29">+SUM(E127:E129)</f>
        <v>5166</v>
      </c>
      <c r="F126" s="3">
        <f t="shared" si="29"/>
        <v>5254</v>
      </c>
      <c r="G126" s="3">
        <f t="shared" si="29"/>
        <v>5028</v>
      </c>
      <c r="H126" s="3">
        <f t="shared" si="28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209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61">
        <v>0</v>
      </c>
      <c r="H130" s="61">
        <v>0</v>
      </c>
      <c r="I130" s="61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61">
        <v>0</v>
      </c>
      <c r="H131" s="61">
        <v>0</v>
      </c>
      <c r="I131" s="61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61">
        <v>0</v>
      </c>
      <c r="H132" s="61">
        <v>0</v>
      </c>
      <c r="I132" s="61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61">
        <v>0</v>
      </c>
      <c r="H133" s="61">
        <v>0</v>
      </c>
      <c r="I133" s="61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>+B114+B118+B122+B130+B134+B126</f>
        <v>28701</v>
      </c>
      <c r="C135" s="5">
        <f t="shared" ref="C135:I135" si="30">+C114+C118+C122+C130+C134+C126</f>
        <v>30507</v>
      </c>
      <c r="D135" s="5">
        <f t="shared" si="30"/>
        <v>32233</v>
      </c>
      <c r="E135" s="5">
        <f t="shared" si="30"/>
        <v>34485</v>
      </c>
      <c r="F135" s="5">
        <f t="shared" si="30"/>
        <v>37218</v>
      </c>
      <c r="G135" s="5">
        <f t="shared" si="30"/>
        <v>35568</v>
      </c>
      <c r="H135" s="5">
        <f t="shared" si="30"/>
        <v>42293</v>
      </c>
      <c r="I135" s="5">
        <f t="shared" si="30"/>
        <v>44436</v>
      </c>
    </row>
    <row r="136" spans="1:9" x14ac:dyDescent="0.2">
      <c r="A136" s="2" t="s">
        <v>104</v>
      </c>
      <c r="B136" s="62">
        <v>1982</v>
      </c>
      <c r="C136" s="62">
        <v>1955</v>
      </c>
      <c r="D136" s="62">
        <v>2042</v>
      </c>
      <c r="E136" s="62">
        <v>1886</v>
      </c>
      <c r="F136" s="62">
        <v>1906</v>
      </c>
      <c r="G136" s="62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31">+B135+B136+B141</f>
        <v>30601</v>
      </c>
      <c r="C142" s="7">
        <f t="shared" si="31"/>
        <v>32376</v>
      </c>
      <c r="D142" s="7">
        <f t="shared" si="31"/>
        <v>34350</v>
      </c>
      <c r="E142" s="7">
        <f t="shared" si="31"/>
        <v>36397</v>
      </c>
      <c r="F142" s="7">
        <f t="shared" si="31"/>
        <v>39117</v>
      </c>
      <c r="G142" s="7">
        <f t="shared" si="31"/>
        <v>37403</v>
      </c>
      <c r="H142" s="7">
        <f t="shared" si="31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I143" si="32">+J142-J2</f>
        <v>0</v>
      </c>
      <c r="D143" s="13">
        <f t="shared" si="32"/>
        <v>0</v>
      </c>
      <c r="E143" s="13">
        <f t="shared" si="32"/>
        <v>0</v>
      </c>
      <c r="F143" s="13">
        <f t="shared" si="32"/>
        <v>0</v>
      </c>
      <c r="G143" s="13">
        <f t="shared" si="32"/>
        <v>0</v>
      </c>
      <c r="H143" s="13">
        <f t="shared" si="32"/>
        <v>0</v>
      </c>
      <c r="I143" s="13">
        <f t="shared" si="32"/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209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33">+SUM(B145:B150)</f>
        <v>4817</v>
      </c>
      <c r="C151" s="5">
        <f t="shared" si="33"/>
        <v>5328</v>
      </c>
      <c r="D151" s="5">
        <f t="shared" si="33"/>
        <v>5192</v>
      </c>
      <c r="E151" s="5">
        <f t="shared" si="33"/>
        <v>5525</v>
      </c>
      <c r="F151" s="5">
        <f t="shared" si="33"/>
        <v>6357</v>
      </c>
      <c r="G151" s="5">
        <f t="shared" si="33"/>
        <v>4646</v>
      </c>
      <c r="H151" s="5">
        <f t="shared" si="33"/>
        <v>8641</v>
      </c>
      <c r="I151" s="5">
        <f t="shared" si="33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34">+SUM(B151:B153)</f>
        <v>4233</v>
      </c>
      <c r="C154" s="7">
        <f t="shared" ref="C154" si="35">+SUM(C151:C153)</f>
        <v>4642</v>
      </c>
      <c r="D154" s="7">
        <f t="shared" ref="D154" si="36">+SUM(D151:D153)</f>
        <v>4945</v>
      </c>
      <c r="E154" s="7">
        <f t="shared" ref="E154" si="37">+SUM(E151:E153)</f>
        <v>4379</v>
      </c>
      <c r="F154" s="7">
        <f t="shared" ref="F154" si="38">+SUM(F151:F153)</f>
        <v>4850</v>
      </c>
      <c r="G154" s="7">
        <f t="shared" ref="G154" si="39">+SUM(G151:G153)</f>
        <v>2976</v>
      </c>
      <c r="H154" s="7">
        <f t="shared" ref="H154" si="40">+SUM(H151:H153)</f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G155" si="41">+B154-B10-B8</f>
        <v>0</v>
      </c>
      <c r="C155" s="13">
        <f t="shared" si="41"/>
        <v>0</v>
      </c>
      <c r="D155" s="13">
        <f t="shared" si="41"/>
        <v>0</v>
      </c>
      <c r="E155" s="13">
        <f t="shared" si="41"/>
        <v>0</v>
      </c>
      <c r="F155" s="13">
        <f t="shared" si="41"/>
        <v>0</v>
      </c>
      <c r="G155" s="13">
        <f t="shared" si="41"/>
        <v>0</v>
      </c>
      <c r="H155" s="13">
        <f>+H154-H10-H8</f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209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42">+SUM(B157:B162)</f>
        <v>2176</v>
      </c>
      <c r="C163" s="5">
        <f t="shared" si="42"/>
        <v>2458</v>
      </c>
      <c r="D163" s="5">
        <f t="shared" si="42"/>
        <v>2626</v>
      </c>
      <c r="E163" s="5">
        <f t="shared" si="42"/>
        <v>2889</v>
      </c>
      <c r="F163" s="5">
        <f t="shared" si="42"/>
        <v>2971</v>
      </c>
      <c r="G163" s="5">
        <f t="shared" si="42"/>
        <v>2870</v>
      </c>
      <c r="H163" s="5">
        <f t="shared" si="42"/>
        <v>2971</v>
      </c>
      <c r="I163" s="5">
        <f t="shared" si="42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43">+SUM(B163:B165)</f>
        <v>3011</v>
      </c>
      <c r="C166" s="7">
        <f t="shared" si="43"/>
        <v>3520</v>
      </c>
      <c r="D166" s="7">
        <f t="shared" si="43"/>
        <v>3989</v>
      </c>
      <c r="E166" s="7">
        <f t="shared" si="43"/>
        <v>4454</v>
      </c>
      <c r="F166" s="7">
        <f t="shared" si="43"/>
        <v>4744</v>
      </c>
      <c r="G166" s="7">
        <f t="shared" si="43"/>
        <v>4866</v>
      </c>
      <c r="H166" s="7">
        <f t="shared" si="43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 t="shared" ref="B167:I167" si="44">+B166-B32</f>
        <v>0</v>
      </c>
      <c r="C167" s="13">
        <f t="shared" si="44"/>
        <v>0</v>
      </c>
      <c r="D167" s="13">
        <f t="shared" si="44"/>
        <v>0</v>
      </c>
      <c r="E167" s="13">
        <f t="shared" si="44"/>
        <v>0</v>
      </c>
      <c r="F167" s="13">
        <f t="shared" si="44"/>
        <v>0</v>
      </c>
      <c r="G167" s="13">
        <f t="shared" si="44"/>
        <v>0</v>
      </c>
      <c r="H167" s="13">
        <f t="shared" si="44"/>
        <v>0</v>
      </c>
      <c r="I167" s="13">
        <f t="shared" si="44"/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209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45">+SUM(B169:B174)</f>
        <v>790</v>
      </c>
      <c r="C175" s="5">
        <f t="shared" si="45"/>
        <v>840</v>
      </c>
      <c r="D175" s="5">
        <f t="shared" si="45"/>
        <v>784</v>
      </c>
      <c r="E175" s="5">
        <f t="shared" si="45"/>
        <v>847</v>
      </c>
      <c r="F175" s="5">
        <f t="shared" si="45"/>
        <v>724</v>
      </c>
      <c r="G175" s="5">
        <f t="shared" si="45"/>
        <v>756</v>
      </c>
      <c r="H175" s="5">
        <f t="shared" si="45"/>
        <v>677</v>
      </c>
      <c r="I175" s="5">
        <f t="shared" si="45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 t="shared" ref="B177:I177" si="46">-(SUM(B175:B176)+B83)</f>
        <v>104</v>
      </c>
      <c r="C177" s="3">
        <f t="shared" si="46"/>
        <v>264</v>
      </c>
      <c r="D177" s="3">
        <f t="shared" si="46"/>
        <v>291</v>
      </c>
      <c r="E177" s="3">
        <f t="shared" si="46"/>
        <v>159</v>
      </c>
      <c r="F177" s="3">
        <f t="shared" si="46"/>
        <v>377</v>
      </c>
      <c r="G177" s="3">
        <f t="shared" si="46"/>
        <v>318</v>
      </c>
      <c r="H177" s="3">
        <f t="shared" si="46"/>
        <v>11</v>
      </c>
      <c r="I177" s="3">
        <f t="shared" si="46"/>
        <v>50</v>
      </c>
    </row>
    <row r="178" spans="1:9" ht="16" thickBot="1" x14ac:dyDescent="0.25">
      <c r="A178" s="6" t="s">
        <v>123</v>
      </c>
      <c r="B178" s="7">
        <f t="shared" ref="B178:H178" si="47">+SUM(B175:B177)</f>
        <v>963</v>
      </c>
      <c r="C178" s="7">
        <f t="shared" si="47"/>
        <v>1143</v>
      </c>
      <c r="D178" s="7">
        <f t="shared" si="47"/>
        <v>1105</v>
      </c>
      <c r="E178" s="7">
        <f t="shared" si="47"/>
        <v>1028</v>
      </c>
      <c r="F178" s="7">
        <f t="shared" si="47"/>
        <v>1119</v>
      </c>
      <c r="G178" s="7">
        <f t="shared" si="47"/>
        <v>1086</v>
      </c>
      <c r="H178" s="7">
        <f t="shared" si="47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 t="shared" ref="B179:I179" si="48">+B178+B83</f>
        <v>0</v>
      </c>
      <c r="C179" s="13">
        <f t="shared" si="48"/>
        <v>0</v>
      </c>
      <c r="D179" s="13">
        <f t="shared" si="48"/>
        <v>0</v>
      </c>
      <c r="E179" s="13">
        <f t="shared" si="48"/>
        <v>0</v>
      </c>
      <c r="F179" s="13">
        <f t="shared" si="48"/>
        <v>0</v>
      </c>
      <c r="G179" s="13">
        <f t="shared" si="48"/>
        <v>0</v>
      </c>
      <c r="H179" s="13">
        <f t="shared" si="48"/>
        <v>0</v>
      </c>
      <c r="I179" s="13">
        <f t="shared" si="48"/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209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 t="shared" ref="B187:I187" si="49">+SUM(B181:B186)</f>
        <v>513</v>
      </c>
      <c r="C187" s="5">
        <f t="shared" si="49"/>
        <v>538</v>
      </c>
      <c r="D187" s="5">
        <f t="shared" si="49"/>
        <v>587</v>
      </c>
      <c r="E187" s="5">
        <f t="shared" si="49"/>
        <v>604</v>
      </c>
      <c r="F187" s="5">
        <f t="shared" si="49"/>
        <v>558</v>
      </c>
      <c r="G187" s="5">
        <f t="shared" si="49"/>
        <v>584</v>
      </c>
      <c r="H187" s="5">
        <f t="shared" si="49"/>
        <v>577</v>
      </c>
      <c r="I187" s="5">
        <f t="shared" si="49"/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50">+SUM(B187:B189)</f>
        <v>606</v>
      </c>
      <c r="C190" s="7">
        <f t="shared" si="50"/>
        <v>649</v>
      </c>
      <c r="D190" s="7">
        <f t="shared" si="50"/>
        <v>706</v>
      </c>
      <c r="E190" s="7">
        <f t="shared" si="50"/>
        <v>747</v>
      </c>
      <c r="F190" s="7">
        <f t="shared" si="50"/>
        <v>705</v>
      </c>
      <c r="G190" s="7">
        <f t="shared" si="50"/>
        <v>721</v>
      </c>
      <c r="H190" s="7">
        <f t="shared" si="50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 t="shared" ref="B191:I191" si="51">+B190-B67</f>
        <v>0</v>
      </c>
      <c r="C191" s="13">
        <f t="shared" si="51"/>
        <v>0</v>
      </c>
      <c r="D191" s="13">
        <f t="shared" si="51"/>
        <v>0</v>
      </c>
      <c r="E191" s="13">
        <f t="shared" si="51"/>
        <v>0</v>
      </c>
      <c r="F191" s="13">
        <f t="shared" si="51"/>
        <v>0</v>
      </c>
      <c r="G191" s="13">
        <f t="shared" si="51"/>
        <v>0</v>
      </c>
      <c r="H191" s="13">
        <f t="shared" si="51"/>
        <v>0</v>
      </c>
      <c r="I191" s="13">
        <f t="shared" si="51"/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209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65" t="s">
        <v>210</v>
      </c>
      <c r="F211" s="65" t="s">
        <v>210</v>
      </c>
      <c r="G211" s="65" t="s">
        <v>210</v>
      </c>
      <c r="H211" s="65" t="s">
        <v>210</v>
      </c>
      <c r="I211" s="65" t="s">
        <v>210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65" t="s">
        <v>210</v>
      </c>
      <c r="F212" s="65" t="s">
        <v>210</v>
      </c>
      <c r="G212" s="65" t="s">
        <v>210</v>
      </c>
      <c r="H212" s="65" t="s">
        <v>210</v>
      </c>
      <c r="I212" s="65" t="s">
        <v>210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65" t="s">
        <v>210</v>
      </c>
      <c r="F213" s="65" t="s">
        <v>210</v>
      </c>
      <c r="G213" s="65" t="s">
        <v>210</v>
      </c>
      <c r="H213" s="65" t="s">
        <v>210</v>
      </c>
      <c r="I213" s="65" t="s">
        <v>210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Historicals!B142</f>
        <v>30601</v>
      </c>
      <c r="C3" s="9">
        <f>Historicals!C142</f>
        <v>32376</v>
      </c>
      <c r="D3" s="9">
        <f>Historicals!D142</f>
        <v>34350</v>
      </c>
      <c r="E3" s="9">
        <f>Historicals!E142</f>
        <v>36397</v>
      </c>
      <c r="F3" s="9">
        <f>Historicals!F142</f>
        <v>39117</v>
      </c>
      <c r="G3" s="9">
        <f>Historicals!G142</f>
        <v>37403</v>
      </c>
      <c r="H3" s="9">
        <f>Historicals!H142</f>
        <v>44538</v>
      </c>
      <c r="I3" s="9">
        <f>Historicals!I142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4.9000000000000002E-2</v>
      </c>
      <c r="K4" s="47">
        <v>4.9000000000000002E-2</v>
      </c>
      <c r="L4" s="47">
        <v>4.9000000000000002E-2</v>
      </c>
      <c r="M4" s="47">
        <v>4.9000000000000002E-2</v>
      </c>
      <c r="N4" s="47">
        <v>4.9000000000000002E-2</v>
      </c>
    </row>
    <row r="5" spans="1:15" x14ac:dyDescent="0.2">
      <c r="A5" s="41" t="s">
        <v>130</v>
      </c>
      <c r="B5" s="48">
        <f t="shared" ref="B5:I5" si="4">+B11+B8</f>
        <v>4839</v>
      </c>
      <c r="C5" s="48">
        <f t="shared" si="4"/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48">
        <f>J3*J7</f>
        <v>7944.0769999999993</v>
      </c>
      <c r="K5" s="48">
        <f t="shared" ref="K5:N5" si="5">K3*K7</f>
        <v>8333.3367729999973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9619.3427121449204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4.8999999999999932E-2</v>
      </c>
      <c r="K6" s="47">
        <f t="shared" si="7"/>
        <v>4.899999999999971E-2</v>
      </c>
      <c r="L6" s="47">
        <f t="shared" si="7"/>
        <v>4.8999999999999932E-2</v>
      </c>
      <c r="M6" s="47">
        <f t="shared" si="7"/>
        <v>4.8999999999999932E-2</v>
      </c>
      <c r="N6" s="47">
        <f t="shared" si="7"/>
        <v>4.8999999999999932E-2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I7</f>
        <v>0.16212802397773496</v>
      </c>
      <c r="K7" s="47">
        <f t="shared" ref="K7:N7" si="9">J7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9">
        <f>Historicals!B190</f>
        <v>606</v>
      </c>
      <c r="C8" s="9">
        <f>Historicals!C190</f>
        <v>649</v>
      </c>
      <c r="D8" s="9">
        <f>Historicals!D190</f>
        <v>706</v>
      </c>
      <c r="E8" s="9">
        <f>Historicals!E190</f>
        <v>747</v>
      </c>
      <c r="F8" s="9">
        <f>Historicals!F190</f>
        <v>705</v>
      </c>
      <c r="G8" s="9">
        <f>Historicals!G190</f>
        <v>721</v>
      </c>
      <c r="H8" s="9">
        <f>Historicals!H190</f>
        <v>744</v>
      </c>
      <c r="I8" s="9">
        <f>Historicals!I190</f>
        <v>717</v>
      </c>
      <c r="J8" s="9">
        <f>J3*J10</f>
        <v>752.13299999999992</v>
      </c>
      <c r="K8" s="9">
        <f t="shared" ref="K8:N8" si="10">K3*K10</f>
        <v>788.9875169999998</v>
      </c>
      <c r="L8" s="9">
        <f t="shared" si="10"/>
        <v>827.6479053329997</v>
      </c>
      <c r="M8" s="9">
        <f t="shared" si="10"/>
        <v>868.20265269431661</v>
      </c>
      <c r="N8" s="9">
        <f t="shared" si="10"/>
        <v>910.74458267633804</v>
      </c>
      <c r="O8" t="s">
        <v>144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4.8999999999999932E-2</v>
      </c>
      <c r="K9" s="47">
        <f t="shared" si="12"/>
        <v>4.8999999999999932E-2</v>
      </c>
      <c r="L9" s="47">
        <f t="shared" si="12"/>
        <v>4.8999999999999932E-2</v>
      </c>
      <c r="M9" s="47">
        <f t="shared" si="12"/>
        <v>4.8999999999999932E-2</v>
      </c>
      <c r="N9" s="47">
        <f t="shared" si="12"/>
        <v>4.8999999999999932E-2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>I10</f>
        <v>1.5350032113037893E-2</v>
      </c>
      <c r="K10" s="47">
        <f t="shared" ref="K10:N10" si="14">J10</f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9">
        <f>Historicals!B154</f>
        <v>4233</v>
      </c>
      <c r="C11" s="9">
        <f>Historicals!C154</f>
        <v>4642</v>
      </c>
      <c r="D11" s="9">
        <f>Historicals!D154</f>
        <v>4945</v>
      </c>
      <c r="E11" s="9">
        <f>Historicals!E154</f>
        <v>4379</v>
      </c>
      <c r="F11" s="9">
        <f>Historicals!F154</f>
        <v>4850</v>
      </c>
      <c r="G11" s="9">
        <f>Historicals!G154</f>
        <v>2976</v>
      </c>
      <c r="H11" s="9">
        <f>Historicals!H154</f>
        <v>6923</v>
      </c>
      <c r="I11" s="9">
        <f>Historicals!I154</f>
        <v>6856</v>
      </c>
      <c r="J11" s="48">
        <f t="shared" ref="J11:N11" si="15">J5-J8</f>
        <v>7191.9439999999995</v>
      </c>
      <c r="K11" s="48">
        <f t="shared" si="15"/>
        <v>7544.3492559999977</v>
      </c>
      <c r="L11" s="48">
        <f t="shared" si="15"/>
        <v>7914.0223695439972</v>
      </c>
      <c r="M11" s="48">
        <f t="shared" si="15"/>
        <v>8301.8094656516514</v>
      </c>
      <c r="N11" s="48">
        <f t="shared" si="15"/>
        <v>8708.5981294685826</v>
      </c>
      <c r="O11" t="s">
        <v>145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4.8999999999999932E-2</v>
      </c>
      <c r="K12" s="47">
        <f t="shared" si="17"/>
        <v>4.899999999999971E-2</v>
      </c>
      <c r="L12" s="47">
        <f t="shared" si="17"/>
        <v>4.8999999999999932E-2</v>
      </c>
      <c r="M12" s="47">
        <f t="shared" si="17"/>
        <v>4.899999999999971E-2</v>
      </c>
      <c r="N12" s="47">
        <f t="shared" si="17"/>
        <v>4.8999999999999932E-2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0.14677799186469709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0.14677799186469703</v>
      </c>
      <c r="N13" s="47">
        <f t="shared" si="18"/>
        <v>0.14677799186469706</v>
      </c>
    </row>
    <row r="14" spans="1:15" x14ac:dyDescent="0.2">
      <c r="A14" s="41" t="s">
        <v>135</v>
      </c>
      <c r="B14" s="9">
        <f>Historicals!B178</f>
        <v>963</v>
      </c>
      <c r="C14" s="9">
        <f>Historicals!C178</f>
        <v>1143</v>
      </c>
      <c r="D14" s="9">
        <f>Historicals!D178</f>
        <v>1105</v>
      </c>
      <c r="E14" s="9">
        <f>Historicals!E178</f>
        <v>1028</v>
      </c>
      <c r="F14" s="9">
        <f>Historicals!F178</f>
        <v>1119</v>
      </c>
      <c r="G14" s="9">
        <f>Historicals!G178</f>
        <v>1086</v>
      </c>
      <c r="H14" s="9">
        <f>Historicals!H178</f>
        <v>695</v>
      </c>
      <c r="I14" s="9">
        <f>Historicals!I178</f>
        <v>758</v>
      </c>
      <c r="J14" s="9">
        <f>J3*J16</f>
        <v>795.14199999999994</v>
      </c>
      <c r="K14" s="9">
        <f t="shared" ref="K14:N14" si="19">K3*K16</f>
        <v>834.10395799999992</v>
      </c>
      <c r="L14" s="9">
        <f t="shared" si="19"/>
        <v>874.97505194199982</v>
      </c>
      <c r="M14" s="9">
        <f t="shared" si="19"/>
        <v>917.84882948715767</v>
      </c>
      <c r="N14" s="9">
        <f t="shared" si="19"/>
        <v>962.82342213202844</v>
      </c>
      <c r="O14" t="s">
        <v>146</v>
      </c>
    </row>
    <row r="15" spans="1:15" x14ac:dyDescent="0.2">
      <c r="A15" s="42" t="s">
        <v>129</v>
      </c>
      <c r="B15" s="47" t="str">
        <f t="shared" ref="B15:H15" si="20">+IFERROR(B14/A14-1,"nm")</f>
        <v>nm</v>
      </c>
      <c r="C15" s="47">
        <f t="shared" si="20"/>
        <v>0.18691588785046731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4.8999999999999932E-2</v>
      </c>
      <c r="K15" s="47">
        <f t="shared" si="21"/>
        <v>4.8999999999999932E-2</v>
      </c>
      <c r="L15" s="47">
        <f t="shared" si="21"/>
        <v>4.8999999999999932E-2</v>
      </c>
      <c r="M15" s="47">
        <f t="shared" si="21"/>
        <v>4.8999999999999932E-2</v>
      </c>
      <c r="N15" s="47">
        <f t="shared" si="21"/>
        <v>4.9000000000000155E-2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>I16</f>
        <v>1.6227788482123744E-2</v>
      </c>
      <c r="K16" s="47">
        <f t="shared" ref="K16:N16" si="23">J16</f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</row>
    <row r="17" spans="1:15" x14ac:dyDescent="0.2">
      <c r="A17" s="9" t="s">
        <v>141</v>
      </c>
      <c r="B17" s="9">
        <f>Historicals!B166</f>
        <v>3011</v>
      </c>
      <c r="C17" s="9">
        <f>Historicals!C166</f>
        <v>3520</v>
      </c>
      <c r="D17" s="9">
        <f>Historicals!D166</f>
        <v>3989</v>
      </c>
      <c r="E17" s="9">
        <f>Historicals!E166</f>
        <v>4454</v>
      </c>
      <c r="F17" s="9">
        <f>Historicals!F166</f>
        <v>4744</v>
      </c>
      <c r="G17" s="9">
        <f>Historicals!G166</f>
        <v>4866</v>
      </c>
      <c r="H17" s="9">
        <f>Historicals!H166</f>
        <v>4904</v>
      </c>
      <c r="I17" s="9">
        <f>Historicals!I166</f>
        <v>4791</v>
      </c>
      <c r="J17" s="48">
        <f>J3*J19</f>
        <v>5025.759</v>
      </c>
      <c r="K17" s="48">
        <f t="shared" ref="K17:N17" si="24">K3*K19</f>
        <v>5272.0211909999989</v>
      </c>
      <c r="L17" s="48">
        <f t="shared" si="24"/>
        <v>5530.3502293589981</v>
      </c>
      <c r="M17" s="48">
        <f t="shared" si="24"/>
        <v>5801.3373905975886</v>
      </c>
      <c r="N17" s="48">
        <f t="shared" si="24"/>
        <v>6085.6029227368708</v>
      </c>
      <c r="O17" t="s">
        <v>147</v>
      </c>
    </row>
    <row r="18" spans="1:15" x14ac:dyDescent="0.2">
      <c r="A18" s="42" t="s">
        <v>129</v>
      </c>
      <c r="B18" s="47" t="str">
        <f t="shared" ref="B18:H18" si="25">+IFERROR(B17/A17-1,"nm")</f>
        <v>nm</v>
      </c>
      <c r="C18" s="47">
        <f t="shared" si="25"/>
        <v>0.16904682829624718</v>
      </c>
      <c r="D18" s="47">
        <f t="shared" si="25"/>
        <v>0.13323863636363642</v>
      </c>
      <c r="E18" s="47">
        <f t="shared" si="25"/>
        <v>0.11657056906492858</v>
      </c>
      <c r="F18" s="47">
        <f t="shared" si="25"/>
        <v>6.5110013471037176E-2</v>
      </c>
      <c r="G18" s="47">
        <f t="shared" si="25"/>
        <v>2.5716694772343951E-2</v>
      </c>
      <c r="H18" s="47">
        <f t="shared" si="25"/>
        <v>7.8092889436909285E-3</v>
      </c>
      <c r="I18" s="47">
        <f>+IFERROR(I17/H17-1,"nm")</f>
        <v>-2.3042414355628038E-2</v>
      </c>
      <c r="J18" s="47">
        <f t="shared" ref="J18:N18" si="26">+IFERROR(J17/I17-1,"nm")</f>
        <v>4.8999999999999932E-2</v>
      </c>
      <c r="K18" s="47">
        <f t="shared" si="26"/>
        <v>4.899999999999971E-2</v>
      </c>
      <c r="L18" s="47">
        <f t="shared" si="26"/>
        <v>4.8999999999999932E-2</v>
      </c>
      <c r="M18" s="47">
        <f t="shared" si="26"/>
        <v>4.8999999999999932E-2</v>
      </c>
      <c r="N18" s="47">
        <f t="shared" si="26"/>
        <v>4.9000000000000155E-2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7">+IFERROR(C17/C$3,"nm")</f>
        <v>0.10872251050160613</v>
      </c>
      <c r="D19" s="47">
        <f t="shared" si="27"/>
        <v>0.11612809315866085</v>
      </c>
      <c r="E19" s="47">
        <f t="shared" si="27"/>
        <v>0.12237272302662307</v>
      </c>
      <c r="F19" s="47">
        <f t="shared" si="27"/>
        <v>0.1212771940588491</v>
      </c>
      <c r="G19" s="47">
        <f t="shared" si="27"/>
        <v>0.13009651632222013</v>
      </c>
      <c r="H19" s="47">
        <f t="shared" si="27"/>
        <v>0.11010822219228523</v>
      </c>
      <c r="I19" s="47">
        <f t="shared" si="27"/>
        <v>0.10256904303147078</v>
      </c>
      <c r="J19" s="47">
        <f>I19</f>
        <v>0.10256904303147078</v>
      </c>
      <c r="K19" s="47">
        <f t="shared" ref="K19:N19" si="28">J19</f>
        <v>0.10256904303147078</v>
      </c>
      <c r="L19" s="47">
        <f t="shared" si="28"/>
        <v>0.10256904303147078</v>
      </c>
      <c r="M19" s="47">
        <f t="shared" si="28"/>
        <v>0.10256904303147078</v>
      </c>
      <c r="N19" s="47">
        <f t="shared" si="28"/>
        <v>0.10256904303147078</v>
      </c>
    </row>
    <row r="20" spans="1:15" x14ac:dyDescent="0.2">
      <c r="A20" s="43" t="str">
        <f>+[1]Historicals!A114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Historicals!B114</f>
        <v>13740</v>
      </c>
      <c r="C21" s="9">
        <f>Historicals!C114</f>
        <v>14764</v>
      </c>
      <c r="D21" s="9">
        <f>Historicals!D114</f>
        <v>15216</v>
      </c>
      <c r="E21" s="9">
        <f>Historicals!E114</f>
        <v>14855</v>
      </c>
      <c r="F21" s="9">
        <f>Historicals!F114</f>
        <v>15902</v>
      </c>
      <c r="G21" s="9">
        <f>Historicals!G114</f>
        <v>14484</v>
      </c>
      <c r="H21" s="9">
        <f>Historicals!H114</f>
        <v>17179</v>
      </c>
      <c r="I21" s="9">
        <f>Historicals!I114</f>
        <v>18353</v>
      </c>
      <c r="J21" s="9">
        <f>I21*(1+J22)</f>
        <v>19252.296999999999</v>
      </c>
      <c r="K21" s="9">
        <f t="shared" ref="K21:N21" si="29">J21*(1+K22)</f>
        <v>20195.659552999998</v>
      </c>
      <c r="L21" s="9">
        <f t="shared" si="29"/>
        <v>21185.246871096995</v>
      </c>
      <c r="M21" s="9">
        <f t="shared" si="29"/>
        <v>22223.323967780747</v>
      </c>
      <c r="N21" s="9">
        <f t="shared" si="29"/>
        <v>23312.266842202003</v>
      </c>
    </row>
    <row r="22" spans="1:15" x14ac:dyDescent="0.2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v>4.9000000000000002E-2</v>
      </c>
      <c r="K22" s="47">
        <f t="shared" ref="K22:N22" si="31">J22</f>
        <v>4.9000000000000002E-2</v>
      </c>
      <c r="L22" s="47">
        <f t="shared" si="31"/>
        <v>4.9000000000000002E-2</v>
      </c>
      <c r="M22" s="47">
        <f t="shared" si="31"/>
        <v>4.9000000000000002E-2</v>
      </c>
      <c r="N22" s="47">
        <f t="shared" si="31"/>
        <v>4.9000000000000002E-2</v>
      </c>
    </row>
    <row r="23" spans="1:15" x14ac:dyDescent="0.2">
      <c r="A23" s="45" t="s">
        <v>113</v>
      </c>
      <c r="B23" s="3">
        <f>Historicals!B115</f>
        <v>8506</v>
      </c>
      <c r="C23" s="3">
        <f>Historicals!C115</f>
        <v>9299</v>
      </c>
      <c r="D23" s="3">
        <f>Historicals!D115</f>
        <v>9684</v>
      </c>
      <c r="E23" s="3">
        <f>Historicals!E115</f>
        <v>9322</v>
      </c>
      <c r="F23" s="3">
        <f>Historicals!F115</f>
        <v>10045</v>
      </c>
      <c r="G23" s="3">
        <f>Historicals!G115</f>
        <v>9329</v>
      </c>
      <c r="H23" s="3">
        <f>Historicals!H115</f>
        <v>11644</v>
      </c>
      <c r="I23" s="3">
        <f>Historicals!I115</f>
        <v>12228</v>
      </c>
      <c r="J23" s="3">
        <f>+I23*(1+J24)</f>
        <v>12827.171999999999</v>
      </c>
      <c r="K23" s="3">
        <f t="shared" ref="K23:N23" si="32">+J23*(1+K24)</f>
        <v>13455.703427999997</v>
      </c>
      <c r="L23" s="3">
        <f t="shared" si="32"/>
        <v>14115.032895971995</v>
      </c>
      <c r="M23" s="3">
        <f t="shared" si="32"/>
        <v>14806.669507874622</v>
      </c>
      <c r="N23" s="3">
        <f t="shared" si="32"/>
        <v>15532.196313760476</v>
      </c>
    </row>
    <row r="24" spans="1:15" x14ac:dyDescent="0.2">
      <c r="A24" s="44" t="s">
        <v>129</v>
      </c>
      <c r="B24" s="47" t="str">
        <f t="shared" ref="B24:H24" si="33">+IFERROR(B23/A23-1,"nm")</f>
        <v>nm</v>
      </c>
      <c r="C24" s="47">
        <f t="shared" si="33"/>
        <v>9.3228309428638578E-2</v>
      </c>
      <c r="D24" s="47">
        <f t="shared" si="33"/>
        <v>4.1402301322722934E-2</v>
      </c>
      <c r="E24" s="47">
        <f t="shared" si="33"/>
        <v>-3.7381247418422192E-2</v>
      </c>
      <c r="F24" s="47">
        <f t="shared" si="33"/>
        <v>7.755846384895948E-2</v>
      </c>
      <c r="G24" s="47">
        <f t="shared" si="33"/>
        <v>-7.1279243404678949E-2</v>
      </c>
      <c r="H24" s="47">
        <f t="shared" si="33"/>
        <v>0.24815092721620746</v>
      </c>
      <c r="I24" s="47">
        <f>+IFERROR(I23/H23-1,"nm")</f>
        <v>5.0154586052902683E-2</v>
      </c>
      <c r="J24" s="47">
        <v>4.9000000000000002E-2</v>
      </c>
      <c r="K24" s="47">
        <v>4.9000000000000002E-2</v>
      </c>
      <c r="L24" s="47">
        <v>4.9000000000000002E-2</v>
      </c>
      <c r="M24" s="47">
        <v>4.9000000000000002E-2</v>
      </c>
      <c r="N24" s="47">
        <v>4.9000000000000002E-2</v>
      </c>
    </row>
    <row r="25" spans="1:15" x14ac:dyDescent="0.2">
      <c r="A25" s="44" t="s">
        <v>137</v>
      </c>
      <c r="B25" s="47">
        <f>Historicals!B195</f>
        <v>0.14000000000000001</v>
      </c>
      <c r="C25" s="47">
        <f>Historicals!C195</f>
        <v>0.1</v>
      </c>
      <c r="D25" s="47">
        <f>Historicals!D195</f>
        <v>0.04</v>
      </c>
      <c r="E25" s="47">
        <f>Historicals!E195</f>
        <v>-0.04</v>
      </c>
      <c r="F25" s="47">
        <f>Historicals!F195</f>
        <v>0.08</v>
      </c>
      <c r="G25" s="47">
        <f>Historicals!G195</f>
        <v>-7.0000000000000007E-2</v>
      </c>
      <c r="H25" s="47">
        <f>Historicals!H195</f>
        <v>0.25</v>
      </c>
      <c r="I25" s="47">
        <f>Historicals!I195</f>
        <v>0.05</v>
      </c>
      <c r="J25" s="49">
        <f>I25</f>
        <v>0.05</v>
      </c>
      <c r="K25" s="49">
        <f t="shared" ref="K25:N26" si="34">+J25</f>
        <v>0.05</v>
      </c>
      <c r="L25" s="49">
        <f t="shared" si="34"/>
        <v>0.05</v>
      </c>
      <c r="M25" s="49">
        <f t="shared" si="34"/>
        <v>0.05</v>
      </c>
      <c r="N25" s="49">
        <f t="shared" si="34"/>
        <v>0.05</v>
      </c>
    </row>
    <row r="26" spans="1:15" x14ac:dyDescent="0.2">
      <c r="A26" s="44" t="s">
        <v>138</v>
      </c>
      <c r="B26" s="47" t="str">
        <f t="shared" ref="B26:H26" si="35">+IFERROR(B24-B25,"nm")</f>
        <v>nm</v>
      </c>
      <c r="C26" s="47">
        <f t="shared" si="35"/>
        <v>-6.7716905713614273E-3</v>
      </c>
      <c r="D26" s="47">
        <f t="shared" si="35"/>
        <v>1.4023013227229333E-3</v>
      </c>
      <c r="E26" s="47">
        <f t="shared" si="35"/>
        <v>2.6187525815778087E-3</v>
      </c>
      <c r="F26" s="47">
        <f t="shared" si="35"/>
        <v>-2.4415361510405215E-3</v>
      </c>
      <c r="G26" s="47">
        <f t="shared" si="35"/>
        <v>-1.2792434046789425E-3</v>
      </c>
      <c r="H26" s="47">
        <f t="shared" si="35"/>
        <v>-1.849072783792538E-3</v>
      </c>
      <c r="I26" s="47">
        <f>+IFERROR(I24-I25,"nm")</f>
        <v>1.5458605290268046E-4</v>
      </c>
      <c r="J26" s="49">
        <f>I26</f>
        <v>1.5458605290268046E-4</v>
      </c>
      <c r="K26" s="49">
        <f t="shared" si="34"/>
        <v>1.5458605290268046E-4</v>
      </c>
      <c r="L26" s="49">
        <f t="shared" si="34"/>
        <v>1.5458605290268046E-4</v>
      </c>
      <c r="M26" s="49">
        <f t="shared" si="34"/>
        <v>1.5458605290268046E-4</v>
      </c>
      <c r="N26" s="49">
        <f t="shared" si="34"/>
        <v>1.5458605290268046E-4</v>
      </c>
    </row>
    <row r="27" spans="1:15" x14ac:dyDescent="0.2">
      <c r="A27" s="45" t="s">
        <v>114</v>
      </c>
      <c r="B27" s="9">
        <f>Historicals!B116</f>
        <v>4410</v>
      </c>
      <c r="C27" s="9">
        <f>Historicals!C116</f>
        <v>4746</v>
      </c>
      <c r="D27" s="9">
        <f>Historicals!D116</f>
        <v>4866</v>
      </c>
      <c r="E27" s="9">
        <f>Historicals!E116</f>
        <v>4938</v>
      </c>
      <c r="F27" s="9">
        <f>Historicals!F116</f>
        <v>5260</v>
      </c>
      <c r="G27" s="9">
        <f>Historicals!G116</f>
        <v>4639</v>
      </c>
      <c r="H27" s="9">
        <f>Historicals!H116</f>
        <v>5028</v>
      </c>
      <c r="I27" s="9">
        <f>Historicals!I116</f>
        <v>5492</v>
      </c>
      <c r="J27" s="3">
        <f>+I27*(1+J28)</f>
        <v>5761.1079999999993</v>
      </c>
      <c r="K27" s="3">
        <f t="shared" ref="K27:N27" si="36">+J27*(1+K28)</f>
        <v>6043.4022919999989</v>
      </c>
      <c r="L27" s="3">
        <f t="shared" si="36"/>
        <v>6339.5290043079985</v>
      </c>
      <c r="M27" s="3">
        <f t="shared" si="36"/>
        <v>6650.1659255190898</v>
      </c>
      <c r="N27" s="3">
        <f t="shared" si="36"/>
        <v>6976.024055869525</v>
      </c>
    </row>
    <row r="28" spans="1:15" x14ac:dyDescent="0.2">
      <c r="A28" s="44" t="s">
        <v>129</v>
      </c>
      <c r="B28" s="47" t="str">
        <f t="shared" ref="B28:H28" si="37">+IFERROR(B27/A27-1,"nm")</f>
        <v>nm</v>
      </c>
      <c r="C28" s="47">
        <f t="shared" si="37"/>
        <v>7.6190476190476142E-2</v>
      </c>
      <c r="D28" s="47">
        <f t="shared" si="37"/>
        <v>2.5284450063211228E-2</v>
      </c>
      <c r="E28" s="47">
        <f t="shared" si="37"/>
        <v>1.4796547472256449E-2</v>
      </c>
      <c r="F28" s="47">
        <f t="shared" si="37"/>
        <v>6.5208586472256025E-2</v>
      </c>
      <c r="G28" s="47">
        <f t="shared" si="37"/>
        <v>-0.11806083650190113</v>
      </c>
      <c r="H28" s="47">
        <f t="shared" si="37"/>
        <v>8.3854278939426541E-2</v>
      </c>
      <c r="I28" s="47">
        <f>+IFERROR(I27/H27-1,"nm")</f>
        <v>9.2283214001591007E-2</v>
      </c>
      <c r="J28" s="47">
        <v>4.9000000000000002E-2</v>
      </c>
      <c r="K28" s="47">
        <v>4.9000000000000002E-2</v>
      </c>
      <c r="L28" s="47">
        <v>4.9000000000000002E-2</v>
      </c>
      <c r="M28" s="47">
        <v>4.9000000000000002E-2</v>
      </c>
      <c r="N28" s="47">
        <v>4.9000000000000002E-2</v>
      </c>
    </row>
    <row r="29" spans="1:15" x14ac:dyDescent="0.2">
      <c r="A29" s="44" t="s">
        <v>137</v>
      </c>
      <c r="B29" s="47">
        <f>Historicals!B196</f>
        <v>0.12</v>
      </c>
      <c r="C29" s="47">
        <f>Historicals!C196</f>
        <v>0.08</v>
      </c>
      <c r="D29" s="47">
        <f>Historicals!D196</f>
        <v>0.03</v>
      </c>
      <c r="E29" s="47">
        <f>Historicals!E196</f>
        <v>0.01</v>
      </c>
      <c r="F29" s="47">
        <f>Historicals!F196</f>
        <v>7.0000000000000007E-2</v>
      </c>
      <c r="G29" s="47">
        <f>Historicals!G196</f>
        <v>-0.12</v>
      </c>
      <c r="H29" s="47">
        <f>Historicals!H196</f>
        <v>0.08</v>
      </c>
      <c r="I29" s="47">
        <f>Historicals!I196</f>
        <v>0.09</v>
      </c>
      <c r="J29" s="49">
        <f>I29</f>
        <v>0.09</v>
      </c>
      <c r="K29" s="49">
        <f t="shared" ref="K29:N30" si="38">+J29</f>
        <v>0.09</v>
      </c>
      <c r="L29" s="49">
        <f t="shared" si="38"/>
        <v>0.09</v>
      </c>
      <c r="M29" s="49">
        <f t="shared" si="38"/>
        <v>0.09</v>
      </c>
      <c r="N29" s="49">
        <f t="shared" si="38"/>
        <v>0.09</v>
      </c>
    </row>
    <row r="30" spans="1:15" x14ac:dyDescent="0.2">
      <c r="A30" s="44" t="s">
        <v>138</v>
      </c>
      <c r="B30" s="47" t="str">
        <f t="shared" ref="B30:H30" si="39">+IFERROR(B28-B29,"nm")</f>
        <v>nm</v>
      </c>
      <c r="C30" s="47">
        <f t="shared" si="39"/>
        <v>-3.8095238095238598E-3</v>
      </c>
      <c r="D30" s="47">
        <f t="shared" si="39"/>
        <v>-4.715549936788771E-3</v>
      </c>
      <c r="E30" s="47">
        <f t="shared" si="39"/>
        <v>4.7965474722564492E-3</v>
      </c>
      <c r="F30" s="47">
        <f t="shared" si="39"/>
        <v>-4.7914135277439818E-3</v>
      </c>
      <c r="G30" s="47">
        <f t="shared" si="39"/>
        <v>1.9391634980988615E-3</v>
      </c>
      <c r="H30" s="47">
        <f t="shared" si="39"/>
        <v>3.8542789394265392E-3</v>
      </c>
      <c r="I30" s="47">
        <f>+IFERROR(I28-I29,"nm")</f>
        <v>2.2832140015910107E-3</v>
      </c>
      <c r="J30" s="49">
        <f>I30</f>
        <v>2.2832140015910107E-3</v>
      </c>
      <c r="K30" s="49">
        <f t="shared" si="38"/>
        <v>2.2832140015910107E-3</v>
      </c>
      <c r="L30" s="49">
        <f t="shared" si="38"/>
        <v>2.2832140015910107E-3</v>
      </c>
      <c r="M30" s="49">
        <f t="shared" si="38"/>
        <v>2.2832140015910107E-3</v>
      </c>
      <c r="N30" s="49">
        <f t="shared" si="38"/>
        <v>2.2832140015910107E-3</v>
      </c>
    </row>
    <row r="31" spans="1:15" x14ac:dyDescent="0.2">
      <c r="A31" s="45" t="s">
        <v>115</v>
      </c>
      <c r="B31" s="9">
        <f>Historicals!B117</f>
        <v>824</v>
      </c>
      <c r="C31" s="9">
        <f>Historicals!C117</f>
        <v>719</v>
      </c>
      <c r="D31" s="9">
        <f>Historicals!D117</f>
        <v>646</v>
      </c>
      <c r="E31" s="9">
        <f>Historicals!E117</f>
        <v>595</v>
      </c>
      <c r="F31" s="9">
        <f>Historicals!F117</f>
        <v>597</v>
      </c>
      <c r="G31" s="9">
        <f>Historicals!G117</f>
        <v>516</v>
      </c>
      <c r="H31" s="9">
        <f>Historicals!H117</f>
        <v>507</v>
      </c>
      <c r="I31" s="9">
        <f>Historicals!I117</f>
        <v>633</v>
      </c>
      <c r="J31" s="3">
        <f>+I31*(1+J32)</f>
        <v>664.01699999999994</v>
      </c>
      <c r="K31" s="3">
        <f t="shared" ref="K31:N31" si="40">+J31*(1+K32)</f>
        <v>696.55383299999994</v>
      </c>
      <c r="L31" s="3">
        <f t="shared" si="40"/>
        <v>730.68497081699991</v>
      </c>
      <c r="M31" s="3">
        <f t="shared" si="40"/>
        <v>766.48853438703281</v>
      </c>
      <c r="N31" s="3">
        <f t="shared" si="40"/>
        <v>804.04647257199736</v>
      </c>
    </row>
    <row r="32" spans="1:15" x14ac:dyDescent="0.2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v>4.9000000000000002E-2</v>
      </c>
      <c r="K32" s="47">
        <v>4.9000000000000002E-2</v>
      </c>
      <c r="L32" s="47">
        <v>4.9000000000000002E-2</v>
      </c>
      <c r="M32" s="47">
        <v>4.9000000000000002E-2</v>
      </c>
      <c r="N32" s="47">
        <v>4.9000000000000002E-2</v>
      </c>
    </row>
    <row r="33" spans="1:14" x14ac:dyDescent="0.2">
      <c r="A33" s="44" t="s">
        <v>137</v>
      </c>
      <c r="B33" s="47">
        <f>Historicals!B197</f>
        <v>-0.05</v>
      </c>
      <c r="C33" s="47">
        <f>Historicals!C197</f>
        <v>-0.13</v>
      </c>
      <c r="D33" s="47">
        <f>Historicals!D197</f>
        <v>-0.1</v>
      </c>
      <c r="E33" s="47">
        <f>Historicals!E197</f>
        <v>-0.08</v>
      </c>
      <c r="F33" s="47">
        <f>Historicals!F197</f>
        <v>0</v>
      </c>
      <c r="G33" s="47">
        <f>Historicals!G197</f>
        <v>-0.14000000000000001</v>
      </c>
      <c r="H33" s="47">
        <f>Historicals!H197</f>
        <v>-0.02</v>
      </c>
      <c r="I33" s="47">
        <f>Historicals!I197</f>
        <v>0.25</v>
      </c>
      <c r="J33" s="49">
        <f>+I33</f>
        <v>0.25</v>
      </c>
      <c r="K33" s="49">
        <f t="shared" ref="K33:N34" si="42">+J33</f>
        <v>0.25</v>
      </c>
      <c r="L33" s="49">
        <f t="shared" si="42"/>
        <v>0.25</v>
      </c>
      <c r="M33" s="49">
        <f t="shared" si="42"/>
        <v>0.25</v>
      </c>
      <c r="N33" s="49">
        <f t="shared" si="42"/>
        <v>0.25</v>
      </c>
    </row>
    <row r="34" spans="1:14" x14ac:dyDescent="0.2">
      <c r="A34" s="44" t="s">
        <v>138</v>
      </c>
      <c r="B34" s="47" t="str">
        <f t="shared" ref="B34:H34" si="43">+IFERROR(B32-B33,"nm")</f>
        <v>nm</v>
      </c>
      <c r="C34" s="47">
        <f t="shared" si="43"/>
        <v>2.572815533980588E-3</v>
      </c>
      <c r="D34" s="47">
        <f t="shared" si="43"/>
        <v>-1.5299026425591167E-3</v>
      </c>
      <c r="E34" s="47">
        <f t="shared" si="43"/>
        <v>1.0526315789473467E-3</v>
      </c>
      <c r="F34" s="47">
        <f t="shared" si="43"/>
        <v>3.3613445378151141E-3</v>
      </c>
      <c r="G34" s="47">
        <f t="shared" si="43"/>
        <v>4.321608040200986E-3</v>
      </c>
      <c r="H34" s="47">
        <f t="shared" si="43"/>
        <v>2.5581395348836904E-3</v>
      </c>
      <c r="I34" s="47">
        <f>+IFERROR(I32-I33,"nm")</f>
        <v>-1.4792899408284654E-3</v>
      </c>
      <c r="J34" s="49">
        <f>I34</f>
        <v>-1.4792899408284654E-3</v>
      </c>
      <c r="K34" s="49">
        <f t="shared" si="42"/>
        <v>-1.4792899408284654E-3</v>
      </c>
      <c r="L34" s="49">
        <f t="shared" si="42"/>
        <v>-1.4792899408284654E-3</v>
      </c>
      <c r="M34" s="49">
        <f t="shared" si="42"/>
        <v>-1.4792899408284654E-3</v>
      </c>
      <c r="N34" s="49">
        <f t="shared" si="42"/>
        <v>-1.4792899408284654E-3</v>
      </c>
    </row>
    <row r="35" spans="1:14" x14ac:dyDescent="0.2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5494.6619999999994</v>
      </c>
      <c r="K35" s="48">
        <f t="shared" ref="K35:N35" si="45">+K21*K37</f>
        <v>5763.9004379999988</v>
      </c>
      <c r="L35" s="48">
        <f t="shared" si="45"/>
        <v>6046.331559461998</v>
      </c>
      <c r="M35" s="48">
        <f t="shared" si="45"/>
        <v>6342.6018058756354</v>
      </c>
      <c r="N35" s="48">
        <f t="shared" si="45"/>
        <v>6653.3892943635419</v>
      </c>
    </row>
    <row r="36" spans="1:14" x14ac:dyDescent="0.2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4.8999999999999932E-2</v>
      </c>
      <c r="K36" s="47">
        <f t="shared" si="47"/>
        <v>4.8999999999999932E-2</v>
      </c>
      <c r="L36" s="47">
        <f t="shared" si="47"/>
        <v>4.8999999999999932E-2</v>
      </c>
      <c r="M36" s="47">
        <f t="shared" si="47"/>
        <v>4.8999999999999932E-2</v>
      </c>
      <c r="N36" s="47">
        <f t="shared" si="47"/>
        <v>4.9000000000000155E-2</v>
      </c>
    </row>
    <row r="37" spans="1:14" x14ac:dyDescent="0.2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">
      <c r="A38" s="9" t="s">
        <v>132</v>
      </c>
      <c r="B38" s="9">
        <f>Historicals!B181</f>
        <v>121</v>
      </c>
      <c r="C38" s="9">
        <f>Historicals!C181</f>
        <v>133</v>
      </c>
      <c r="D38" s="9">
        <f>Historicals!D181</f>
        <v>140</v>
      </c>
      <c r="E38" s="9">
        <f>Historicals!E181</f>
        <v>160</v>
      </c>
      <c r="F38" s="9">
        <f>Historicals!F181</f>
        <v>149</v>
      </c>
      <c r="G38" s="9">
        <f>Historicals!G181</f>
        <v>148</v>
      </c>
      <c r="H38" s="9">
        <f>Historicals!H181</f>
        <v>130</v>
      </c>
      <c r="I38" s="9">
        <f>Historicals!I181</f>
        <v>124</v>
      </c>
      <c r="J38" s="48">
        <f>+J41*J48</f>
        <v>130.07599999999999</v>
      </c>
      <c r="K38" s="48">
        <f t="shared" ref="K38:N38" si="50">+K41*K48</f>
        <v>136.449724</v>
      </c>
      <c r="L38" s="48">
        <f t="shared" si="50"/>
        <v>143.13576047599997</v>
      </c>
      <c r="M38" s="48">
        <f t="shared" si="50"/>
        <v>150.14941273932396</v>
      </c>
      <c r="N38" s="48">
        <f t="shared" si="50"/>
        <v>157.50673396355083</v>
      </c>
    </row>
    <row r="39" spans="1:14" x14ac:dyDescent="0.2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4.8999999999999932E-2</v>
      </c>
      <c r="K39" s="47">
        <f t="shared" si="52"/>
        <v>4.9000000000000155E-2</v>
      </c>
      <c r="L39" s="47">
        <f t="shared" si="52"/>
        <v>4.899999999999971E-2</v>
      </c>
      <c r="M39" s="47">
        <f t="shared" si="52"/>
        <v>4.8999999999999932E-2</v>
      </c>
      <c r="N39" s="47">
        <f t="shared" si="52"/>
        <v>4.8999999999999932E-2</v>
      </c>
    </row>
    <row r="40" spans="1:14" x14ac:dyDescent="0.2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>+IFERROR(J38/J$21,"nm")</f>
        <v>6.7563886013185855E-3</v>
      </c>
      <c r="K40" s="47">
        <f t="shared" ref="K40:N40" si="54">+IFERROR(K38/K$21,"nm")</f>
        <v>6.7563886013185864E-3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2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">
      <c r="A42" s="9" t="s">
        <v>134</v>
      </c>
      <c r="B42" s="9">
        <f>Historicals!B145</f>
        <v>3645</v>
      </c>
      <c r="C42" s="9">
        <f>Historicals!C145</f>
        <v>3763</v>
      </c>
      <c r="D42" s="9">
        <f>Historicals!D145</f>
        <v>3875</v>
      </c>
      <c r="E42" s="9">
        <f>Historicals!E145</f>
        <v>3600</v>
      </c>
      <c r="F42" s="9">
        <f>Historicals!F145</f>
        <v>3925</v>
      </c>
      <c r="G42" s="9">
        <f>Historicals!G145</f>
        <v>2899</v>
      </c>
      <c r="H42" s="9">
        <f>Historicals!H145</f>
        <v>5089</v>
      </c>
      <c r="I42" s="9">
        <f>Historicals!I145</f>
        <v>5114</v>
      </c>
      <c r="J42" s="9">
        <f>+J35-J38</f>
        <v>5364.5859999999993</v>
      </c>
      <c r="K42" s="9">
        <f t="shared" ref="K42:N42" si="57">+K35-K38</f>
        <v>5627.4507139999987</v>
      </c>
      <c r="L42" s="9">
        <f t="shared" si="57"/>
        <v>5903.1957989859984</v>
      </c>
      <c r="M42" s="9">
        <f t="shared" si="57"/>
        <v>6192.452393136311</v>
      </c>
      <c r="N42" s="9">
        <f t="shared" si="57"/>
        <v>6495.8825603999912</v>
      </c>
    </row>
    <row r="43" spans="1:14" x14ac:dyDescent="0.2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4.8999999999999932E-2</v>
      </c>
      <c r="K43" s="47">
        <f t="shared" si="59"/>
        <v>4.8999999999999932E-2</v>
      </c>
      <c r="L43" s="47">
        <f t="shared" si="59"/>
        <v>4.8999999999999932E-2</v>
      </c>
      <c r="M43" s="47">
        <f t="shared" si="59"/>
        <v>4.899999999999971E-2</v>
      </c>
      <c r="N43" s="47">
        <f t="shared" si="59"/>
        <v>4.9000000000000155E-2</v>
      </c>
    </row>
    <row r="44" spans="1:14" x14ac:dyDescent="0.2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0.27864654279954226</v>
      </c>
      <c r="L44" s="47">
        <f t="shared" si="61"/>
        <v>0.27864654279954232</v>
      </c>
      <c r="M44" s="47">
        <f t="shared" si="61"/>
        <v>0.27864654279954226</v>
      </c>
      <c r="N44" s="47">
        <f t="shared" si="61"/>
        <v>0.27864654279954232</v>
      </c>
    </row>
    <row r="45" spans="1:14" x14ac:dyDescent="0.2">
      <c r="A45" s="9" t="s">
        <v>135</v>
      </c>
      <c r="B45" s="9">
        <f>Historicals!B169</f>
        <v>208</v>
      </c>
      <c r="C45" s="9">
        <f>Historicals!C169</f>
        <v>242</v>
      </c>
      <c r="D45" s="9">
        <f>Historicals!D169</f>
        <v>223</v>
      </c>
      <c r="E45" s="9">
        <f>Historicals!E169</f>
        <v>196</v>
      </c>
      <c r="F45" s="9">
        <f>Historicals!F169</f>
        <v>117</v>
      </c>
      <c r="G45" s="9">
        <f>Historicals!G169</f>
        <v>110</v>
      </c>
      <c r="H45" s="9">
        <f>Historicals!H169</f>
        <v>98</v>
      </c>
      <c r="I45" s="9">
        <f>Historicals!I169</f>
        <v>146</v>
      </c>
      <c r="J45" s="48">
        <f>+J21*J47</f>
        <v>153.154</v>
      </c>
      <c r="K45" s="48">
        <f t="shared" ref="K45:N45" si="62">+K21*K47</f>
        <v>160.658546</v>
      </c>
      <c r="L45" s="48">
        <f t="shared" si="62"/>
        <v>168.53081475399998</v>
      </c>
      <c r="M45" s="48">
        <f t="shared" si="62"/>
        <v>176.78882467694598</v>
      </c>
      <c r="N45" s="48">
        <f t="shared" si="62"/>
        <v>185.45147708611631</v>
      </c>
    </row>
    <row r="46" spans="1:14" x14ac:dyDescent="0.2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4.8999999999999932E-2</v>
      </c>
      <c r="K46" s="47">
        <f t="shared" si="64"/>
        <v>4.8999999999999932E-2</v>
      </c>
      <c r="L46" s="47">
        <f t="shared" si="64"/>
        <v>4.8999999999999932E-2</v>
      </c>
      <c r="M46" s="47">
        <f t="shared" si="64"/>
        <v>4.8999999999999932E-2</v>
      </c>
      <c r="N46" s="47">
        <f t="shared" si="64"/>
        <v>4.8999999999999932E-2</v>
      </c>
    </row>
    <row r="47" spans="1:14" x14ac:dyDescent="0.2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">
      <c r="A48" s="9" t="s">
        <v>141</v>
      </c>
      <c r="B48" s="9">
        <f>Historicals!B157</f>
        <v>632</v>
      </c>
      <c r="C48" s="9">
        <f>Historicals!C157</f>
        <v>742</v>
      </c>
      <c r="D48" s="9">
        <f>Historicals!D157</f>
        <v>819</v>
      </c>
      <c r="E48" s="9">
        <f>Historicals!E157</f>
        <v>848</v>
      </c>
      <c r="F48" s="9">
        <f>Historicals!F157</f>
        <v>814</v>
      </c>
      <c r="G48" s="9">
        <f>Historicals!G157</f>
        <v>645</v>
      </c>
      <c r="H48" s="9">
        <f>Historicals!H157</f>
        <v>617</v>
      </c>
      <c r="I48" s="9">
        <f>Historicals!I157</f>
        <v>639</v>
      </c>
      <c r="J48" s="9">
        <f>+J21*J50</f>
        <v>670.31100000000004</v>
      </c>
      <c r="K48" s="9">
        <f t="shared" ref="K48:N48" si="67">+K21*K50</f>
        <v>703.15623900000003</v>
      </c>
      <c r="L48" s="9">
        <f t="shared" si="67"/>
        <v>737.6108947109999</v>
      </c>
      <c r="M48" s="9">
        <f t="shared" si="67"/>
        <v>773.75382855183886</v>
      </c>
      <c r="N48" s="9">
        <f t="shared" si="67"/>
        <v>811.66776615087895</v>
      </c>
    </row>
    <row r="49" spans="1:14" x14ac:dyDescent="0.2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+IFERROR(J48/I48-1,"nm")</f>
        <v>4.9000000000000155E-2</v>
      </c>
      <c r="K49" s="47">
        <f t="shared" ref="K49:N49" si="69">+IFERROR(J48/I48-1,"nm")</f>
        <v>4.9000000000000155E-2</v>
      </c>
      <c r="L49" s="47">
        <f t="shared" si="69"/>
        <v>4.8999999999999932E-2</v>
      </c>
      <c r="M49" s="47">
        <f t="shared" si="69"/>
        <v>4.899999999999971E-2</v>
      </c>
      <c r="N49" s="47">
        <f t="shared" si="69"/>
        <v>4.8999999999999932E-2</v>
      </c>
    </row>
    <row r="50" spans="1:14" x14ac:dyDescent="0.2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="110" zoomScaleNormal="110" workbookViewId="0">
      <selection activeCell="E25" sqref="E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2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4.8999999999999932E-2</v>
      </c>
      <c r="K8" s="55">
        <f>'Segmental forecast'!K12</f>
        <v>4.899999999999971E-2</v>
      </c>
      <c r="L8" s="55">
        <f>'Segmental forecast'!L12</f>
        <v>4.8999999999999932E-2</v>
      </c>
      <c r="M8" s="55">
        <f>'Segmental forecast'!M12</f>
        <v>4.899999999999971E-2</v>
      </c>
      <c r="N8" s="55">
        <f>'Segmental forecast'!N12</f>
        <v>4.8999999999999932E-2</v>
      </c>
    </row>
    <row r="9" spans="1:15" x14ac:dyDescent="0.2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0.14677799186469709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0.14677799186469703</v>
      </c>
      <c r="N9" s="55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">
      <c r="A11" s="4" t="s">
        <v>150</v>
      </c>
      <c r="B11" s="5">
        <f>B7-B10</f>
        <v>4205</v>
      </c>
      <c r="C11" s="5">
        <f t="shared" ref="C11:N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>
        <f t="shared" si="2"/>
        <v>7191.9439999999995</v>
      </c>
      <c r="K11" s="5">
        <f t="shared" si="2"/>
        <v>7544.3492559999977</v>
      </c>
      <c r="L11" s="5">
        <f t="shared" si="2"/>
        <v>7914.0223695439972</v>
      </c>
      <c r="M11" s="5">
        <f t="shared" si="2"/>
        <v>8301.8094656516514</v>
      </c>
      <c r="N11" s="5">
        <f t="shared" si="2"/>
        <v>8708.5981294685826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">
      <c r="A13" s="51" t="s">
        <v>151</v>
      </c>
      <c r="B13" s="57">
        <f>B12/B11</f>
        <v>0.22164090368608799</v>
      </c>
      <c r="C13" s="57">
        <f t="shared" ref="C13:N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7">
        <f t="shared" si="3"/>
        <v>0</v>
      </c>
      <c r="K13" s="57">
        <f t="shared" si="3"/>
        <v>0</v>
      </c>
      <c r="L13" s="57">
        <f t="shared" si="3"/>
        <v>0</v>
      </c>
      <c r="M13" s="57">
        <f t="shared" si="3"/>
        <v>0</v>
      </c>
      <c r="N13" s="57">
        <f t="shared" si="3"/>
        <v>0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0</v>
      </c>
      <c r="K14" s="7">
        <f>Historicals!K12</f>
        <v>0</v>
      </c>
      <c r="L14" s="7">
        <f>Historicals!L12</f>
        <v>0</v>
      </c>
      <c r="M14" s="7">
        <f>Historicals!M12</f>
        <v>0</v>
      </c>
      <c r="N14" s="7">
        <f>Historicals!N12</f>
        <v>0</v>
      </c>
    </row>
    <row r="15" spans="1:15" ht="16" thickTop="1" x14ac:dyDescent="0.2">
      <c r="A15" t="s">
        <v>153</v>
      </c>
      <c r="B15" s="59">
        <f>Historicals!B15</f>
        <v>3.7</v>
      </c>
      <c r="C15" s="59">
        <f>Historicals!C15</f>
        <v>2.16</v>
      </c>
      <c r="D15" s="59">
        <f>Historicals!D15</f>
        <v>2.5099999999999998</v>
      </c>
      <c r="E15" s="59">
        <f>Historicals!E15</f>
        <v>1.17</v>
      </c>
      <c r="F15" s="59">
        <f>Historicals!F15</f>
        <v>2.4900000000000002</v>
      </c>
      <c r="G15" s="59">
        <f>Historicals!G15</f>
        <v>1.6</v>
      </c>
      <c r="H15" s="59">
        <f>Historicals!H15</f>
        <v>3.56</v>
      </c>
      <c r="I15" s="59">
        <f>Historicals!I15</f>
        <v>3.75</v>
      </c>
      <c r="J15" s="59">
        <f>Historicals!J15</f>
        <v>0</v>
      </c>
      <c r="K15" s="59">
        <f>Historicals!K15</f>
        <v>0</v>
      </c>
      <c r="L15" s="59">
        <f>Historicals!L15</f>
        <v>0</v>
      </c>
      <c r="M15" s="59">
        <f>Historicals!M15</f>
        <v>0</v>
      </c>
      <c r="N15" s="59">
        <f>Historicals!N15</f>
        <v>0</v>
      </c>
      <c r="O15" t="s">
        <v>198</v>
      </c>
    </row>
    <row r="16" spans="1:15" x14ac:dyDescent="0.2">
      <c r="A16" t="s">
        <v>154</v>
      </c>
      <c r="B16" s="59">
        <f>Historicals!B14</f>
        <v>3.8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Historicals!J14</f>
        <v>0</v>
      </c>
      <c r="K16" s="59">
        <f>Historicals!K14</f>
        <v>0</v>
      </c>
      <c r="L16" s="59">
        <f>Historicals!L14</f>
        <v>0</v>
      </c>
      <c r="M16" s="59">
        <f>Historicals!M14</f>
        <v>0</v>
      </c>
      <c r="N16" s="59">
        <f>Historicals!N14</f>
        <v>0</v>
      </c>
    </row>
    <row r="17" spans="1:15" x14ac:dyDescent="0.2">
      <c r="A17" t="s">
        <v>155</v>
      </c>
      <c r="B17" s="66">
        <f>+(-Historicals!B96/Historicals!B18)</f>
        <v>1.016508367254636</v>
      </c>
      <c r="C17" s="66">
        <f>+(-Historicals!C96/Historicals!C18)</f>
        <v>0.58250213736107148</v>
      </c>
      <c r="D17" s="66">
        <f>+(-Historicals!D96/Historicals!D18)</f>
        <v>0.6629995903797764</v>
      </c>
      <c r="E17" s="66">
        <f>+(-Historicals!E96/Historicals!E18)</f>
        <v>0.74124873278072634</v>
      </c>
      <c r="F17" s="66">
        <f>+(-Historicals!F96/Historicals!F18)</f>
        <v>0.82303509639149774</v>
      </c>
      <c r="G17" s="66">
        <f>+(-Historicals!G96/Historicals!G18)</f>
        <v>0.91228951997989449</v>
      </c>
      <c r="H17" s="66">
        <f>+(-Historicals!H96/Historicals!H18)</f>
        <v>1.0177705977382876</v>
      </c>
      <c r="I17" s="66">
        <f>+(-Historicals!I96/Historicals!I18)</f>
        <v>1.1404271169605165</v>
      </c>
      <c r="J17" s="59">
        <f>Historicals!J15*Historicals!J18</f>
        <v>0</v>
      </c>
      <c r="K17" s="59">
        <f>Historicals!K15*Historicals!K18</f>
        <v>0</v>
      </c>
      <c r="L17" s="59">
        <f>Historicals!L15*Historicals!L18</f>
        <v>0</v>
      </c>
      <c r="M17" s="59">
        <f>Historicals!M15*Historicals!M18</f>
        <v>0</v>
      </c>
      <c r="N17" s="59">
        <f>Historicals!N15*Historicals!N18</f>
        <v>0</v>
      </c>
    </row>
    <row r="18" spans="1:15" x14ac:dyDescent="0.2">
      <c r="A18" s="51" t="s">
        <v>129</v>
      </c>
      <c r="B18" s="57">
        <v>0</v>
      </c>
      <c r="C18" s="57">
        <f>(C14-B14)/B14</f>
        <v>0.1487931561258784</v>
      </c>
      <c r="D18" s="57">
        <f t="shared" ref="D18:I18" si="4">(D14-C14)/C14</f>
        <v>0.1276595744680851</v>
      </c>
      <c r="E18" s="57">
        <f t="shared" si="4"/>
        <v>-0.54410377358490569</v>
      </c>
      <c r="F18" s="57">
        <f t="shared" si="4"/>
        <v>1.0843248836006207</v>
      </c>
      <c r="G18" s="57">
        <f t="shared" si="4"/>
        <v>-0.36981881360138991</v>
      </c>
      <c r="H18" s="57">
        <f t="shared" si="4"/>
        <v>1.2556124458448208</v>
      </c>
      <c r="I18" s="57">
        <f t="shared" si="4"/>
        <v>5.5701065130085561E-2</v>
      </c>
      <c r="J18" s="58"/>
      <c r="K18" s="58"/>
      <c r="L18" s="58"/>
      <c r="M18" s="58"/>
      <c r="N18" s="58"/>
      <c r="O18" t="s">
        <v>199</v>
      </c>
    </row>
    <row r="19" spans="1:15" x14ac:dyDescent="0.2">
      <c r="A19" s="51" t="s">
        <v>156</v>
      </c>
      <c r="B19" s="57">
        <f>B17/B16</f>
        <v>0.26750220190911472</v>
      </c>
      <c r="C19" s="57">
        <f t="shared" ref="C19:N19" si="5">C17/C16</f>
        <v>0.26357562776519072</v>
      </c>
      <c r="D19" s="57">
        <f t="shared" si="5"/>
        <v>0.25898421499210017</v>
      </c>
      <c r="E19" s="57">
        <f t="shared" si="5"/>
        <v>0.6228980947737196</v>
      </c>
      <c r="F19" s="57">
        <f t="shared" si="5"/>
        <v>0.32275886132999915</v>
      </c>
      <c r="G19" s="57">
        <f t="shared" si="5"/>
        <v>0.55968682207355491</v>
      </c>
      <c r="H19" s="57">
        <f t="shared" si="5"/>
        <v>0.2796073070709581</v>
      </c>
      <c r="I19" s="57">
        <f t="shared" si="5"/>
        <v>0.29776164933694949</v>
      </c>
      <c r="J19" s="57"/>
      <c r="K19" s="57"/>
      <c r="L19" s="57"/>
      <c r="M19" s="57"/>
      <c r="N19" s="57"/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7441</v>
      </c>
      <c r="K21" s="3">
        <v>9860</v>
      </c>
      <c r="L21" s="67" t="s">
        <v>210</v>
      </c>
      <c r="M21" s="67" t="s">
        <v>210</v>
      </c>
      <c r="N21" s="67" t="s">
        <v>210</v>
      </c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25202-9256</f>
        <v>15946</v>
      </c>
      <c r="K23" s="3">
        <f>25382-10583</f>
        <v>14799</v>
      </c>
      <c r="L23" s="67" t="s">
        <v>210</v>
      </c>
      <c r="M23" s="67" t="s">
        <v>210</v>
      </c>
      <c r="N23" s="67" t="s">
        <v>210</v>
      </c>
    </row>
    <row r="24" spans="1:15" x14ac:dyDescent="0.2">
      <c r="A24" s="51" t="s">
        <v>161</v>
      </c>
      <c r="B24" s="57"/>
      <c r="C24" s="57"/>
      <c r="D24" s="57"/>
      <c r="E24" s="57"/>
      <c r="F24" s="57"/>
      <c r="G24" s="57"/>
      <c r="H24" s="57"/>
      <c r="I24" s="57"/>
      <c r="J24" s="58"/>
      <c r="K24" s="58"/>
      <c r="L24" s="58"/>
      <c r="M24" s="58"/>
      <c r="N24" s="58"/>
    </row>
    <row r="25" spans="1:15" x14ac:dyDescent="0.2">
      <c r="A25" t="s">
        <v>162</v>
      </c>
      <c r="B25" s="3">
        <f>SUM(Historicals!B26:B30)</f>
        <v>12124</v>
      </c>
      <c r="C25" s="3">
        <f>SUM(Historicals!C26:C30)</f>
        <v>11887</v>
      </c>
      <c r="D25" s="3">
        <f>SUM(Historicals!D26:D30)</f>
        <v>12253</v>
      </c>
      <c r="E25" s="3">
        <f>SUM(Historicals!E26:E30)</f>
        <v>10885</v>
      </c>
      <c r="F25" s="3">
        <f>SUM(Historicals!F26:F30)</f>
        <v>12059</v>
      </c>
      <c r="G25" s="3">
        <f>SUM(Historicals!G26:G30)</f>
        <v>12208</v>
      </c>
      <c r="H25" s="3">
        <f>SUM(Historicals!H26:H30)</f>
        <v>16402</v>
      </c>
      <c r="I25" s="3">
        <f>SUM(Historicals!I26:I30)</f>
        <v>19639</v>
      </c>
      <c r="J25" s="3">
        <f>3234+4131+8454+1942</f>
        <v>17761</v>
      </c>
      <c r="K25" s="3">
        <f>1722+4427+7519+1854</f>
        <v>15522</v>
      </c>
      <c r="L25" s="67" t="s">
        <v>210</v>
      </c>
      <c r="M25" s="67" t="s">
        <v>210</v>
      </c>
      <c r="N25" s="67" t="s">
        <v>210</v>
      </c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v>5081</v>
      </c>
      <c r="K26" s="3">
        <v>5000</v>
      </c>
      <c r="L26" s="67" t="s">
        <v>210</v>
      </c>
      <c r="M26" s="67" t="s">
        <v>210</v>
      </c>
      <c r="N26" s="67" t="s">
        <v>210</v>
      </c>
    </row>
    <row r="27" spans="1:15" x14ac:dyDescent="0.2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v>274</v>
      </c>
      <c r="K27" s="3">
        <v>259</v>
      </c>
      <c r="L27" s="67" t="s">
        <v>210</v>
      </c>
      <c r="M27" s="67" t="s">
        <v>210</v>
      </c>
      <c r="N27" s="67" t="s">
        <v>210</v>
      </c>
    </row>
    <row r="28" spans="1:15" x14ac:dyDescent="0.2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v>281</v>
      </c>
      <c r="K28" s="3">
        <v>240</v>
      </c>
      <c r="L28" s="67" t="s">
        <v>210</v>
      </c>
      <c r="M28" s="67" t="s">
        <v>210</v>
      </c>
      <c r="N28" s="67" t="s">
        <v>210</v>
      </c>
    </row>
    <row r="29" spans="1:15" x14ac:dyDescent="0.2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v>2923</v>
      </c>
      <c r="K29" s="3">
        <v>2718</v>
      </c>
      <c r="L29" s="67" t="s">
        <v>210</v>
      </c>
      <c r="M29" s="67" t="s">
        <v>210</v>
      </c>
      <c r="N29" s="67" t="s">
        <v>210</v>
      </c>
    </row>
    <row r="30" spans="1:15" x14ac:dyDescent="0.2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v>3770</v>
      </c>
      <c r="K30" s="3">
        <v>4511</v>
      </c>
      <c r="L30" s="67" t="s">
        <v>210</v>
      </c>
      <c r="M30" s="67" t="s">
        <v>210</v>
      </c>
      <c r="N30" s="67" t="s">
        <v>210</v>
      </c>
    </row>
    <row r="31" spans="1:15" ht="16" thickBot="1" x14ac:dyDescent="0.25">
      <c r="A31" s="6" t="s">
        <v>166</v>
      </c>
      <c r="B31" s="7">
        <f>SUM(B21,B25,B26,B27,B28,B29,B30)</f>
        <v>21600</v>
      </c>
      <c r="C31" s="7">
        <f t="shared" ref="C31:K31" si="6">SUM(C21,C25,C26,C27,C28,C29,C30)</f>
        <v>21396</v>
      </c>
      <c r="D31" s="7">
        <f t="shared" si="6"/>
        <v>23259</v>
      </c>
      <c r="E31" s="7">
        <f t="shared" si="6"/>
        <v>22536</v>
      </c>
      <c r="F31" s="7">
        <f t="shared" si="6"/>
        <v>23717</v>
      </c>
      <c r="G31" s="7">
        <f t="shared" si="6"/>
        <v>31342</v>
      </c>
      <c r="H31" s="7">
        <f t="shared" si="6"/>
        <v>37740</v>
      </c>
      <c r="I31" s="7">
        <f t="shared" si="6"/>
        <v>40321</v>
      </c>
      <c r="J31" s="7">
        <f t="shared" si="6"/>
        <v>37531</v>
      </c>
      <c r="K31" s="7">
        <f t="shared" si="6"/>
        <v>38110</v>
      </c>
      <c r="L31" s="7">
        <f>SUM(L21,L25,L26,L27,L28,L29,L30)</f>
        <v>0</v>
      </c>
      <c r="M31" s="7">
        <f t="shared" ref="M31" si="7">SUM(M21,M25,M26,M27,M28,M29,M30)</f>
        <v>0</v>
      </c>
      <c r="N31" s="7">
        <f t="shared" ref="N31" si="8">SUM(N21,N25,N26,N27,N28,N29,N30)</f>
        <v>0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v>0</v>
      </c>
      <c r="K33" s="3">
        <v>1000</v>
      </c>
      <c r="L33" s="67" t="s">
        <v>210</v>
      </c>
      <c r="M33" s="67" t="s">
        <v>210</v>
      </c>
      <c r="N33" s="67" t="s">
        <v>210</v>
      </c>
    </row>
    <row r="34" spans="1:14" x14ac:dyDescent="0.2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v>6</v>
      </c>
      <c r="K34" s="3">
        <v>6</v>
      </c>
      <c r="L34" s="67" t="s">
        <v>210</v>
      </c>
      <c r="M34" s="67" t="s">
        <v>210</v>
      </c>
      <c r="N34" s="67" t="s">
        <v>210</v>
      </c>
    </row>
    <row r="35" spans="1:14" x14ac:dyDescent="0.2">
      <c r="A35" t="s">
        <v>168</v>
      </c>
      <c r="B35" s="3">
        <f>SUM(Historicals!B42:B45)</f>
        <v>6153</v>
      </c>
      <c r="C35" s="3">
        <f>SUM(Historicals!C42:C45)</f>
        <v>5313</v>
      </c>
      <c r="D35" s="3">
        <f>SUM(Historicals!D42:D45)</f>
        <v>5143</v>
      </c>
      <c r="E35" s="3">
        <f>SUM(Historicals!E42:E45)</f>
        <v>5698</v>
      </c>
      <c r="F35" s="3">
        <f>SUM(Historicals!F42:F45)</f>
        <v>7851</v>
      </c>
      <c r="G35" s="3">
        <f>SUM(Historicals!G42:G45)</f>
        <v>8033</v>
      </c>
      <c r="H35" s="3">
        <f>SUM(Historicals!H42:H45)</f>
        <v>9672</v>
      </c>
      <c r="I35" s="3">
        <f>SUM(Historicals!I42:I45)</f>
        <v>10220</v>
      </c>
      <c r="J35" s="3">
        <f>425+2862+5723+240</f>
        <v>9250</v>
      </c>
      <c r="K35" s="3">
        <f>2851+477+5725+534</f>
        <v>9587</v>
      </c>
      <c r="L35" s="67" t="s">
        <v>210</v>
      </c>
      <c r="M35" s="67" t="s">
        <v>210</v>
      </c>
      <c r="N35" s="67" t="s">
        <v>210</v>
      </c>
    </row>
    <row r="36" spans="1:14" x14ac:dyDescent="0.2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v>8927</v>
      </c>
      <c r="K36" s="3">
        <v>7903</v>
      </c>
      <c r="L36" s="67" t="s">
        <v>210</v>
      </c>
      <c r="M36" s="67" t="s">
        <v>210</v>
      </c>
      <c r="N36" s="67" t="s">
        <v>210</v>
      </c>
    </row>
    <row r="37" spans="1:14" x14ac:dyDescent="0.2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v>2786</v>
      </c>
      <c r="K37" s="3">
        <v>2566</v>
      </c>
      <c r="L37" s="67" t="s">
        <v>210</v>
      </c>
      <c r="M37" s="67" t="s">
        <v>210</v>
      </c>
      <c r="N37" s="67" t="s">
        <v>210</v>
      </c>
    </row>
    <row r="38" spans="1:14" x14ac:dyDescent="0.2">
      <c r="A38" t="s">
        <v>169</v>
      </c>
      <c r="B38" s="3">
        <f>SUM(Historicals!B49:B51)</f>
        <v>1480</v>
      </c>
      <c r="C38" s="3">
        <f>SUM(Historicals!C49:C51)</f>
        <v>1770</v>
      </c>
      <c r="D38" s="3">
        <f>SUM(Historicals!D49:D51)</f>
        <v>1907</v>
      </c>
      <c r="E38" s="3">
        <f>SUM(Historicals!E49:E51)</f>
        <v>3216</v>
      </c>
      <c r="F38" s="3">
        <f>SUM(Historicals!F49:F51)</f>
        <v>3347</v>
      </c>
      <c r="G38" s="3">
        <f>SUM(Historicals!G49:G51)</f>
        <v>2684</v>
      </c>
      <c r="H38" s="3">
        <f>SUM(Historicals!H49:H51)</f>
        <v>2955</v>
      </c>
      <c r="I38" s="3">
        <f>SUM(Historicals!I49:I51)</f>
        <v>2613</v>
      </c>
      <c r="J38" s="3">
        <v>2558</v>
      </c>
      <c r="K38" s="3">
        <v>2618</v>
      </c>
      <c r="L38" s="67" t="s">
        <v>210</v>
      </c>
      <c r="M38" s="67" t="s">
        <v>210</v>
      </c>
      <c r="N38" s="67" t="s">
        <v>210</v>
      </c>
    </row>
    <row r="39" spans="1:14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67" t="s">
        <v>210</v>
      </c>
      <c r="M39" s="67" t="s">
        <v>210</v>
      </c>
      <c r="N39" s="67" t="s">
        <v>210</v>
      </c>
    </row>
    <row r="40" spans="1:14" x14ac:dyDescent="0.2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>
        <v>3</v>
      </c>
      <c r="K40" s="3">
        <v>3</v>
      </c>
      <c r="L40" s="67" t="s">
        <v>210</v>
      </c>
      <c r="M40" s="67" t="s">
        <v>210</v>
      </c>
      <c r="N40" s="67" t="s">
        <v>210</v>
      </c>
    </row>
    <row r="41" spans="1:14" x14ac:dyDescent="0.2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6907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v>1358</v>
      </c>
      <c r="K41" s="3">
        <v>965</v>
      </c>
      <c r="L41" s="67" t="s">
        <v>210</v>
      </c>
      <c r="M41" s="67" t="s">
        <v>210</v>
      </c>
      <c r="N41" s="67" t="s">
        <v>210</v>
      </c>
    </row>
    <row r="42" spans="1:14" x14ac:dyDescent="0.2">
      <c r="A42" s="2" t="s">
        <v>173</v>
      </c>
      <c r="B42" s="3">
        <f>SUM(Historicals!B56:B57)</f>
        <v>8019</v>
      </c>
      <c r="C42" s="3">
        <f>SUM(Historicals!C56:C57)</f>
        <v>8104</v>
      </c>
      <c r="D42" s="3">
        <f>SUM(Historicals!D56:D57)</f>
        <v>5497</v>
      </c>
      <c r="E42" s="3">
        <f>SUM(Historicals!E56:E57)</f>
        <v>6292</v>
      </c>
      <c r="F42" s="3">
        <f>SUM(Historicals!F56:F57)</f>
        <v>7394</v>
      </c>
      <c r="G42" s="3">
        <f>SUM(Historicals!G56:G57)</f>
        <v>8243</v>
      </c>
      <c r="H42" s="3">
        <f>SUM(Historicals!H56:H57)</f>
        <v>9585</v>
      </c>
      <c r="I42" s="3">
        <f>SUM(Historicals!I56:I57)</f>
        <v>11802</v>
      </c>
      <c r="J42" s="3">
        <f>231+12412</f>
        <v>12643</v>
      </c>
      <c r="K42" s="3">
        <f>53+13409</f>
        <v>13462</v>
      </c>
      <c r="L42" s="67" t="s">
        <v>210</v>
      </c>
      <c r="M42" s="67" t="s">
        <v>210</v>
      </c>
      <c r="N42" s="67" t="s">
        <v>210</v>
      </c>
    </row>
    <row r="43" spans="1:14" ht="16" thickBot="1" x14ac:dyDescent="0.25">
      <c r="A43" s="6" t="s">
        <v>174</v>
      </c>
      <c r="B43" s="7">
        <f>SUM(B33:B42)</f>
        <v>21600</v>
      </c>
      <c r="C43" s="7">
        <f t="shared" ref="C43:N43" si="9">SUM(C33:C42)</f>
        <v>21396</v>
      </c>
      <c r="D43" s="7">
        <f t="shared" si="9"/>
        <v>23259</v>
      </c>
      <c r="E43" s="7">
        <f t="shared" si="9"/>
        <v>22536</v>
      </c>
      <c r="F43" s="7">
        <f t="shared" si="9"/>
        <v>23717</v>
      </c>
      <c r="G43" s="7">
        <f t="shared" si="9"/>
        <v>31342</v>
      </c>
      <c r="H43" s="7">
        <f t="shared" si="9"/>
        <v>37740</v>
      </c>
      <c r="I43" s="7">
        <f t="shared" si="9"/>
        <v>40321</v>
      </c>
      <c r="J43" s="7">
        <f t="shared" si="9"/>
        <v>37531</v>
      </c>
      <c r="K43" s="7">
        <f t="shared" si="9"/>
        <v>38110</v>
      </c>
      <c r="L43" s="7">
        <f t="shared" si="9"/>
        <v>0</v>
      </c>
      <c r="M43" s="7">
        <f t="shared" si="9"/>
        <v>0</v>
      </c>
      <c r="N43" s="7">
        <f t="shared" si="9"/>
        <v>0</v>
      </c>
    </row>
    <row r="44" spans="1:14" ht="16" thickTop="1" x14ac:dyDescent="0.2">
      <c r="A44" s="54" t="s">
        <v>175</v>
      </c>
      <c r="B44" s="54">
        <f>+B43-B31</f>
        <v>0</v>
      </c>
      <c r="C44" s="54">
        <f t="shared" ref="C44:N44" si="10">+C43-C31</f>
        <v>0</v>
      </c>
      <c r="D44" s="54">
        <f t="shared" si="10"/>
        <v>0</v>
      </c>
      <c r="E44" s="54">
        <f t="shared" si="10"/>
        <v>0</v>
      </c>
      <c r="F44" s="54">
        <f t="shared" si="10"/>
        <v>0</v>
      </c>
      <c r="G44" s="54">
        <f t="shared" si="10"/>
        <v>0</v>
      </c>
      <c r="H44" s="54">
        <f t="shared" si="10"/>
        <v>0</v>
      </c>
      <c r="I44" s="54">
        <f t="shared" si="10"/>
        <v>0</v>
      </c>
      <c r="J44" s="54">
        <f t="shared" si="10"/>
        <v>0</v>
      </c>
      <c r="K44" s="54">
        <f t="shared" si="10"/>
        <v>0</v>
      </c>
      <c r="L44" s="54">
        <f t="shared" si="10"/>
        <v>0</v>
      </c>
      <c r="M44" s="54">
        <f t="shared" si="10"/>
        <v>0</v>
      </c>
      <c r="N44" s="54">
        <f t="shared" si="10"/>
        <v>0</v>
      </c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7191.9439999999995</v>
      </c>
      <c r="K46" s="9">
        <f>'Segmental forecast'!K11</f>
        <v>7544.3492559999977</v>
      </c>
      <c r="L46" s="9">
        <f>'Segmental forecast'!L11</f>
        <v>7914.0223695439972</v>
      </c>
      <c r="M46" s="9">
        <f>'Segmental forecast'!M11</f>
        <v>8301.8094656516514</v>
      </c>
      <c r="N46" s="9">
        <f>'Segmental forecast'!N11</f>
        <v>8708.5981294685826</v>
      </c>
    </row>
    <row r="47" spans="1:14" x14ac:dyDescent="0.2">
      <c r="A47" t="s">
        <v>132</v>
      </c>
      <c r="B47" s="60">
        <f>'Segmental forecast'!B8</f>
        <v>606</v>
      </c>
      <c r="C47" s="60">
        <f>'Segmental forecast'!C8</f>
        <v>649</v>
      </c>
      <c r="D47" s="60">
        <f>'Segmental forecast'!D8</f>
        <v>706</v>
      </c>
      <c r="E47" s="60">
        <f>'Segmental forecast'!E8</f>
        <v>747</v>
      </c>
      <c r="F47" s="60">
        <f>'Segmental forecast'!F8</f>
        <v>705</v>
      </c>
      <c r="G47" s="60">
        <f>'Segmental forecast'!G8</f>
        <v>721</v>
      </c>
      <c r="H47" s="60">
        <f>'Segmental forecast'!H8</f>
        <v>744</v>
      </c>
      <c r="I47" s="60">
        <f>'Segmental forecast'!I8</f>
        <v>717</v>
      </c>
      <c r="J47" s="60">
        <f>'Segmental forecast'!J8</f>
        <v>752.13299999999992</v>
      </c>
      <c r="K47" s="60">
        <f>'Segmental forecast'!K8</f>
        <v>788.9875169999998</v>
      </c>
      <c r="L47" s="60">
        <f>'Segmental forecast'!L8</f>
        <v>827.6479053329997</v>
      </c>
      <c r="M47" s="60">
        <f>'Segmental forecast'!M8</f>
        <v>868.20265269431661</v>
      </c>
      <c r="N47" s="60">
        <f>'Segmental forecast'!N8</f>
        <v>910.74458267633804</v>
      </c>
    </row>
    <row r="48" spans="1:14" x14ac:dyDescent="0.2">
      <c r="A48" t="s">
        <v>177</v>
      </c>
      <c r="B48" s="68">
        <f>B46*B13</f>
        <v>938.20594530321046</v>
      </c>
      <c r="C48" s="68">
        <f t="shared" ref="C48:N48" si="11">C46*C13</f>
        <v>866.54683106208097</v>
      </c>
      <c r="D48" s="68">
        <f t="shared" si="11"/>
        <v>653.80065493246013</v>
      </c>
      <c r="E48" s="68">
        <f t="shared" si="11"/>
        <v>2421.8654335260112</v>
      </c>
      <c r="F48" s="68">
        <f t="shared" si="11"/>
        <v>779.87919183503436</v>
      </c>
      <c r="G48" s="68">
        <f t="shared" si="11"/>
        <v>358.72809144440595</v>
      </c>
      <c r="H48" s="68">
        <f t="shared" si="11"/>
        <v>970.73742681279089</v>
      </c>
      <c r="I48" s="68">
        <f t="shared" si="11"/>
        <v>623.6475717937152</v>
      </c>
      <c r="J48" s="68">
        <f t="shared" si="11"/>
        <v>0</v>
      </c>
      <c r="K48" s="68">
        <f t="shared" si="11"/>
        <v>0</v>
      </c>
      <c r="L48" s="68">
        <f t="shared" si="11"/>
        <v>0</v>
      </c>
      <c r="M48" s="68">
        <f t="shared" si="11"/>
        <v>0</v>
      </c>
      <c r="N48" s="68">
        <f t="shared" si="11"/>
        <v>0</v>
      </c>
    </row>
    <row r="49" spans="1:14" x14ac:dyDescent="0.2">
      <c r="A49" s="1" t="s">
        <v>178</v>
      </c>
      <c r="B49" s="3">
        <f>B46*(1-B13)</f>
        <v>3294.7940546967893</v>
      </c>
      <c r="C49" s="3">
        <f t="shared" ref="C49:N49" si="12">C46*(1-C13)</f>
        <v>3775.4531689379191</v>
      </c>
      <c r="D49" s="3">
        <f t="shared" si="12"/>
        <v>4291.19934506754</v>
      </c>
      <c r="E49" s="3">
        <f t="shared" si="12"/>
        <v>1957.1345664739886</v>
      </c>
      <c r="F49" s="3">
        <f t="shared" si="12"/>
        <v>4070.1208081649661</v>
      </c>
      <c r="G49" s="3">
        <f t="shared" si="12"/>
        <v>2617.2719085555941</v>
      </c>
      <c r="H49" s="3">
        <f t="shared" si="12"/>
        <v>5952.2625731872085</v>
      </c>
      <c r="I49" s="3">
        <f t="shared" si="12"/>
        <v>6232.3524282062854</v>
      </c>
      <c r="J49" s="3">
        <f t="shared" si="12"/>
        <v>7191.9439999999995</v>
      </c>
      <c r="K49" s="3">
        <f t="shared" si="12"/>
        <v>7544.3492559999977</v>
      </c>
      <c r="L49" s="3">
        <f t="shared" si="12"/>
        <v>7914.0223695439972</v>
      </c>
      <c r="M49" s="3">
        <f t="shared" si="12"/>
        <v>8301.8094656516514</v>
      </c>
      <c r="N49" s="3">
        <f t="shared" si="12"/>
        <v>8708.5981294685826</v>
      </c>
    </row>
    <row r="50" spans="1:14" x14ac:dyDescent="0.2">
      <c r="A50" t="s">
        <v>179</v>
      </c>
      <c r="B50" s="3">
        <f>B10</f>
        <v>28</v>
      </c>
      <c r="C50" s="3">
        <f t="shared" ref="C50:N50" si="13">C10</f>
        <v>19</v>
      </c>
      <c r="D50" s="3">
        <f t="shared" si="13"/>
        <v>59</v>
      </c>
      <c r="E50" s="3">
        <f t="shared" si="13"/>
        <v>54</v>
      </c>
      <c r="F50" s="3">
        <f t="shared" si="13"/>
        <v>49</v>
      </c>
      <c r="G50" s="3">
        <f t="shared" si="13"/>
        <v>89</v>
      </c>
      <c r="H50" s="3">
        <f t="shared" si="13"/>
        <v>262</v>
      </c>
      <c r="I50" s="3">
        <f t="shared" si="13"/>
        <v>205</v>
      </c>
      <c r="J50" s="3">
        <f t="shared" si="13"/>
        <v>0</v>
      </c>
      <c r="K50" s="3">
        <f t="shared" si="13"/>
        <v>0</v>
      </c>
      <c r="L50" s="3">
        <f t="shared" si="13"/>
        <v>0</v>
      </c>
      <c r="M50" s="3">
        <f t="shared" si="13"/>
        <v>0</v>
      </c>
      <c r="N50" s="3">
        <f t="shared" si="13"/>
        <v>0</v>
      </c>
    </row>
    <row r="51" spans="1:14" x14ac:dyDescent="0.2">
      <c r="A51" t="s">
        <v>180</v>
      </c>
      <c r="B51" s="3">
        <v>0</v>
      </c>
      <c r="C51" s="3">
        <f>C23-B23</f>
        <v>25</v>
      </c>
      <c r="D51" s="3">
        <f t="shared" ref="D51:N51" si="14">D23-C23</f>
        <v>920</v>
      </c>
      <c r="E51" s="3">
        <f t="shared" si="14"/>
        <v>-1493</v>
      </c>
      <c r="F51" s="3">
        <f t="shared" si="14"/>
        <v>-435</v>
      </c>
      <c r="G51" s="3">
        <f t="shared" si="14"/>
        <v>3613</v>
      </c>
      <c r="H51" s="3">
        <f t="shared" si="14"/>
        <v>4345</v>
      </c>
      <c r="I51" s="3">
        <f t="shared" si="14"/>
        <v>866</v>
      </c>
      <c r="J51" s="3">
        <f t="shared" si="14"/>
        <v>-1537</v>
      </c>
      <c r="K51" s="3">
        <f t="shared" si="14"/>
        <v>-1147</v>
      </c>
      <c r="L51" s="3">
        <v>0</v>
      </c>
      <c r="M51" s="3">
        <v>0</v>
      </c>
      <c r="N51" s="3">
        <v>0</v>
      </c>
    </row>
    <row r="52" spans="1:14" x14ac:dyDescent="0.2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795.14199999999994</v>
      </c>
      <c r="K52" s="3">
        <f>'Segmental forecast'!K14</f>
        <v>834.10395799999992</v>
      </c>
      <c r="L52" s="3">
        <f>'Segmental forecast'!L14</f>
        <v>874.97505194199982</v>
      </c>
      <c r="M52" s="3">
        <f>'Segmental forecast'!M14</f>
        <v>917.84882948715767</v>
      </c>
      <c r="N52" s="3">
        <f>'Segmental forecast'!N14</f>
        <v>962.82342213202844</v>
      </c>
    </row>
    <row r="53" spans="1:14" x14ac:dyDescent="0.2">
      <c r="A53" s="1" t="s">
        <v>181</v>
      </c>
      <c r="B53" s="9">
        <f>(B49+B47)-B52-B51</f>
        <v>2937.7940546967893</v>
      </c>
      <c r="C53" s="9">
        <f t="shared" ref="C53:N53" si="15">(C49+C47)-C52-C51</f>
        <v>3256.4531689379191</v>
      </c>
      <c r="D53" s="9">
        <f t="shared" si="15"/>
        <v>2972.19934506754</v>
      </c>
      <c r="E53" s="9">
        <f t="shared" si="15"/>
        <v>3169.1345664739883</v>
      </c>
      <c r="F53" s="9">
        <f t="shared" si="15"/>
        <v>4091.1208081649656</v>
      </c>
      <c r="G53" s="9">
        <f t="shared" si="15"/>
        <v>-1360.7280914444059</v>
      </c>
      <c r="H53" s="9">
        <f t="shared" si="15"/>
        <v>1656.2625731872085</v>
      </c>
      <c r="I53" s="9">
        <f t="shared" si="15"/>
        <v>5325.3524282062854</v>
      </c>
      <c r="J53" s="9">
        <f t="shared" si="15"/>
        <v>8685.9349999999995</v>
      </c>
      <c r="K53" s="9">
        <f t="shared" si="15"/>
        <v>8646.2328149999976</v>
      </c>
      <c r="L53" s="9">
        <f t="shared" si="15"/>
        <v>7866.6952229349972</v>
      </c>
      <c r="M53" s="9">
        <f t="shared" si="15"/>
        <v>8252.1632888588101</v>
      </c>
      <c r="N53" s="9">
        <f t="shared" si="15"/>
        <v>8656.5192900128914</v>
      </c>
    </row>
    <row r="54" spans="1:14" x14ac:dyDescent="0.2">
      <c r="A54" t="s">
        <v>182</v>
      </c>
      <c r="B54" s="3">
        <f>SUM(Historicals!B67:B76)</f>
        <v>1407</v>
      </c>
      <c r="C54" s="3">
        <f>SUM(Historicals!C67:C76)</f>
        <v>-664</v>
      </c>
      <c r="D54" s="3">
        <f>SUM(Historicals!D67:D76)</f>
        <v>-600</v>
      </c>
      <c r="E54" s="3">
        <f>SUM(Historicals!E67:E76)</f>
        <v>3022</v>
      </c>
      <c r="F54" s="3">
        <f>SUM(Historicals!F67:F76)</f>
        <v>1874</v>
      </c>
      <c r="G54" s="3">
        <f>SUM(Historicals!G67:G76)</f>
        <v>-54</v>
      </c>
      <c r="H54" s="3">
        <f>SUM(Historicals!H67:H76)</f>
        <v>930</v>
      </c>
      <c r="I54" s="3">
        <f>SUM(Historicals!I67:I76)</f>
        <v>-858</v>
      </c>
      <c r="J54" s="3">
        <f>SUM(Historicals!J67:J76)</f>
        <v>0</v>
      </c>
      <c r="K54" s="3">
        <f>SUM(Historicals!K67:K76)</f>
        <v>0</v>
      </c>
      <c r="L54" s="3">
        <f>SUM(Historicals!L67:L76)</f>
        <v>0</v>
      </c>
      <c r="M54" s="3">
        <f>SUM(Historicals!M67:M76)</f>
        <v>0</v>
      </c>
      <c r="N54" s="3">
        <f>SUM(Historicals!N67:N76)</f>
        <v>0</v>
      </c>
    </row>
    <row r="55" spans="1:14" x14ac:dyDescent="0.2">
      <c r="A55" s="27" t="s">
        <v>183</v>
      </c>
      <c r="B55" s="26">
        <f>Historicals!B77</f>
        <v>4680</v>
      </c>
      <c r="C55" s="26">
        <f>Historicals!C77</f>
        <v>3096</v>
      </c>
      <c r="D55" s="26">
        <f>Historicals!D77</f>
        <v>3640</v>
      </c>
      <c r="E55" s="26">
        <f>Historicals!E77</f>
        <v>4955</v>
      </c>
      <c r="F55" s="26">
        <f>Historicals!F77</f>
        <v>5903</v>
      </c>
      <c r="G55" s="26">
        <f>Historicals!G77</f>
        <v>2485</v>
      </c>
      <c r="H55" s="26">
        <f>Historicals!H77</f>
        <v>6657</v>
      </c>
      <c r="I55" s="26">
        <f>Historicals!I77</f>
        <v>5188</v>
      </c>
      <c r="J55" s="26">
        <f>Historicals!J77</f>
        <v>0</v>
      </c>
      <c r="K55" s="26">
        <f>Historicals!K77</f>
        <v>0</v>
      </c>
      <c r="L55" s="26">
        <f>Historicals!L77</f>
        <v>0</v>
      </c>
      <c r="M55" s="26">
        <f>Historicals!M77</f>
        <v>0</v>
      </c>
      <c r="N55" s="26">
        <f>Historicals!N77</f>
        <v>0</v>
      </c>
    </row>
    <row r="56" spans="1:14" x14ac:dyDescent="0.2">
      <c r="A56" t="s">
        <v>184</v>
      </c>
      <c r="B56" s="3">
        <f>'Segmental forecast'!B21</f>
        <v>13740</v>
      </c>
      <c r="C56" s="3">
        <f>'Segmental forecast'!C21</f>
        <v>14764</v>
      </c>
      <c r="D56" s="3">
        <f>'Segmental forecast'!D21</f>
        <v>15216</v>
      </c>
      <c r="E56" s="3">
        <f>'Segmental forecast'!E21</f>
        <v>14855</v>
      </c>
      <c r="F56" s="3">
        <f>'Segmental forecast'!F21</f>
        <v>15902</v>
      </c>
      <c r="G56" s="3">
        <f>'Segmental forecast'!G21</f>
        <v>14484</v>
      </c>
      <c r="H56" s="3">
        <f>'Segmental forecast'!H21</f>
        <v>17179</v>
      </c>
      <c r="I56" s="3">
        <f>'Segmental forecast'!I21</f>
        <v>18353</v>
      </c>
      <c r="J56" s="3">
        <f>'Segmental forecast'!J21</f>
        <v>19252.296999999999</v>
      </c>
      <c r="K56" s="3">
        <f>'Segmental forecast'!K21</f>
        <v>20195.659552999998</v>
      </c>
      <c r="L56" s="3">
        <f>'Segmental forecast'!L21</f>
        <v>21185.246871096995</v>
      </c>
      <c r="M56" s="3">
        <f>'Segmental forecast'!M21</f>
        <v>22223.323967780747</v>
      </c>
      <c r="N56" s="3">
        <f>'Segmental forecast'!N21</f>
        <v>23312.266842202003</v>
      </c>
    </row>
    <row r="57" spans="1:14" x14ac:dyDescent="0.2">
      <c r="A57" t="s">
        <v>185</v>
      </c>
      <c r="B57" s="3">
        <f>Historicals!B85</f>
        <v>3</v>
      </c>
      <c r="C57" s="3">
        <f>Historicals!C85</f>
        <v>6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f>Historicals!J85</f>
        <v>0</v>
      </c>
      <c r="K57" s="3">
        <f>Historicals!K85</f>
        <v>0</v>
      </c>
      <c r="L57" s="3">
        <f>Historicals!L85</f>
        <v>0</v>
      </c>
      <c r="M57" s="3">
        <f>Historicals!M85</f>
        <v>0</v>
      </c>
      <c r="N57" s="3">
        <f>Historicals!N85</f>
        <v>0</v>
      </c>
    </row>
    <row r="58" spans="1:14" x14ac:dyDescent="0.2">
      <c r="A58" s="27" t="s">
        <v>186</v>
      </c>
      <c r="B58" s="26">
        <f>Historicals!B86</f>
        <v>-175</v>
      </c>
      <c r="C58" s="26">
        <f>Historicals!C86</f>
        <v>-1034</v>
      </c>
      <c r="D58" s="26">
        <f>Historicals!D86</f>
        <v>-1008</v>
      </c>
      <c r="E58" s="26">
        <f>Historicals!E86</f>
        <v>276</v>
      </c>
      <c r="F58" s="26">
        <f>Historicals!F86</f>
        <v>-264</v>
      </c>
      <c r="G58" s="26">
        <f>Historicals!G86</f>
        <v>-1028</v>
      </c>
      <c r="H58" s="26">
        <f>Historicals!H86</f>
        <v>-3800</v>
      </c>
      <c r="I58" s="26">
        <f>Historicals!I86</f>
        <v>-1524</v>
      </c>
      <c r="J58" s="26">
        <f>Historicals!J86</f>
        <v>0</v>
      </c>
      <c r="K58" s="26">
        <f>Historicals!K86</f>
        <v>0</v>
      </c>
      <c r="L58" s="26">
        <f>Historicals!L86</f>
        <v>0</v>
      </c>
      <c r="M58" s="26">
        <f>Historicals!M86</f>
        <v>0</v>
      </c>
      <c r="N58" s="26">
        <f>Historicals!N86</f>
        <v>0</v>
      </c>
    </row>
    <row r="59" spans="1:14" x14ac:dyDescent="0.2">
      <c r="A59" t="s">
        <v>187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>
        <f>Historicals!J93</f>
        <v>0</v>
      </c>
      <c r="K59" s="3">
        <f>Historicals!K93</f>
        <v>0</v>
      </c>
      <c r="L59" s="3">
        <f>Historicals!L93</f>
        <v>0</v>
      </c>
      <c r="M59" s="3">
        <f>Historicals!M93</f>
        <v>0</v>
      </c>
      <c r="N59" s="3">
        <f>Historicals!N93</f>
        <v>0</v>
      </c>
    </row>
    <row r="60" spans="1:14" x14ac:dyDescent="0.2">
      <c r="A60" s="51" t="s">
        <v>129</v>
      </c>
      <c r="B60" s="57" t="str">
        <f>+IFERROR(B21/A21-1,"nm")</f>
        <v>nm</v>
      </c>
      <c r="C60" s="57">
        <f t="shared" ref="C60:N60" si="16">+IFERROR(C21/B21-1,"nm")</f>
        <v>-0.18535825545171336</v>
      </c>
      <c r="D60" s="57">
        <f t="shared" si="16"/>
        <v>0.21351179094964956</v>
      </c>
      <c r="E60" s="57">
        <f t="shared" si="16"/>
        <v>0.11580882352941169</v>
      </c>
      <c r="F60" s="57">
        <f t="shared" si="16"/>
        <v>5.107084019769359E-2</v>
      </c>
      <c r="G60" s="57">
        <f t="shared" si="16"/>
        <v>0.86923421406180035</v>
      </c>
      <c r="H60" s="57">
        <f t="shared" si="16"/>
        <v>0.18459511260182082</v>
      </c>
      <c r="I60" s="57">
        <f t="shared" si="16"/>
        <v>-0.1329760339771463</v>
      </c>
      <c r="J60" s="57">
        <f t="shared" si="16"/>
        <v>-0.13214369022626549</v>
      </c>
      <c r="K60" s="57">
        <f t="shared" si="16"/>
        <v>0.32509071361376152</v>
      </c>
      <c r="L60" s="57" t="str">
        <f t="shared" si="16"/>
        <v>nm</v>
      </c>
      <c r="M60" s="57" t="str">
        <f t="shared" si="16"/>
        <v>nm</v>
      </c>
      <c r="N60" s="57" t="str">
        <f t="shared" si="16"/>
        <v>nm</v>
      </c>
    </row>
    <row r="61" spans="1:14" x14ac:dyDescent="0.2">
      <c r="A61" t="s">
        <v>188</v>
      </c>
      <c r="B61" s="3">
        <f>+(-Historicals!B96)</f>
        <v>899</v>
      </c>
      <c r="C61" s="3">
        <f>+(-Historicals!C96)</f>
        <v>1022</v>
      </c>
      <c r="D61" s="3">
        <f>+(-Historicals!D96)</f>
        <v>1133</v>
      </c>
      <c r="E61" s="3">
        <f>+(-Historicals!E96)</f>
        <v>1243</v>
      </c>
      <c r="F61" s="3">
        <f>+(-Historicals!F96)</f>
        <v>1332</v>
      </c>
      <c r="G61" s="3">
        <f>+(-Historicals!G96)</f>
        <v>1452</v>
      </c>
      <c r="H61" s="3">
        <f>+(-Historicals!H96)</f>
        <v>1638</v>
      </c>
      <c r="I61" s="3">
        <f>+(-Historicals!I96)</f>
        <v>1837</v>
      </c>
      <c r="J61" s="3">
        <f>+(-Historicals!J96)</f>
        <v>0</v>
      </c>
      <c r="K61" s="3">
        <f>+(-Historicals!K96)</f>
        <v>0</v>
      </c>
      <c r="L61" s="3">
        <f>+(-Historicals!L96)</f>
        <v>0</v>
      </c>
      <c r="M61" s="3">
        <f>+(-Historicals!M96)</f>
        <v>0</v>
      </c>
      <c r="N61" s="3">
        <f>+(-Historicals!N96)</f>
        <v>0</v>
      </c>
    </row>
    <row r="62" spans="1:14" x14ac:dyDescent="0.2">
      <c r="A62" t="s">
        <v>189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4" x14ac:dyDescent="0.2">
      <c r="A63" t="s">
        <v>190</v>
      </c>
      <c r="B63" s="3">
        <f>Historicals!B99</f>
        <v>-2790</v>
      </c>
      <c r="C63" s="3">
        <f>Historicals!C99</f>
        <v>-2671</v>
      </c>
      <c r="D63" s="3">
        <f>Historicals!D99</f>
        <v>-1942</v>
      </c>
      <c r="E63" s="3">
        <f>Historicals!E99</f>
        <v>-4835</v>
      </c>
      <c r="F63" s="3">
        <f>Historicals!F99</f>
        <v>-5293</v>
      </c>
      <c r="G63" s="3">
        <f>Historicals!G99</f>
        <v>2491</v>
      </c>
      <c r="H63" s="3">
        <f>Historicals!H99</f>
        <v>-1459</v>
      </c>
      <c r="I63" s="3">
        <f>Historicals!I99</f>
        <v>-4836</v>
      </c>
      <c r="J63" s="3">
        <f>Historicals!J99</f>
        <v>0</v>
      </c>
      <c r="K63" s="3">
        <f>Historicals!K99</f>
        <v>0</v>
      </c>
      <c r="L63" s="3">
        <f>Historicals!L99</f>
        <v>0</v>
      </c>
      <c r="M63" s="3">
        <f>Historicals!M99</f>
        <v>0</v>
      </c>
      <c r="N63" s="3">
        <f>Historicals!N99</f>
        <v>0</v>
      </c>
    </row>
    <row r="64" spans="1:14" x14ac:dyDescent="0.2">
      <c r="A64" s="27" t="s">
        <v>191</v>
      </c>
      <c r="B64" s="26">
        <f>(Historicals!B93+Historicals!B94)-(Historicals!B89+Historicals!B90+Historicals!B91+Historicals!B95+Historicals!B96)</f>
        <v>4254</v>
      </c>
      <c r="C64" s="26">
        <f>(Historicals!C93+Historicals!C94)-(Historicals!C89+Historicals!C90+Historicals!C91+Historicals!C95+Historicals!C96)</f>
        <v>5228</v>
      </c>
      <c r="D64" s="26">
        <f>(Historicals!D93+Historicals!D94)-(Historicals!D89+Historicals!D90+Historicals!D91+Historicals!D95+Historicals!D96)</f>
        <v>4756</v>
      </c>
      <c r="E64" s="26">
        <f>(Historicals!E93+Historicals!E94)-(Historicals!E89+Historicals!E90+Historicals!E91+Historicals!E95+Historicals!E96)</f>
        <v>6246</v>
      </c>
      <c r="F64" s="26">
        <f>(Historicals!F93+Historicals!F94)-(Historicals!F89+Historicals!F90+Historicals!F91+Historicals!F95+Historicals!F96)</f>
        <v>6643</v>
      </c>
      <c r="G64" s="26">
        <f>(Historicals!G93+Historicals!G94)-(Historicals!G89+Historicals!G90+Historicals!G91+Historicals!G95+Historicals!G96)</f>
        <v>5355</v>
      </c>
      <c r="H64" s="26">
        <f>(Historicals!H93+Historicals!H94)-(Historicals!H89+Historicals!H90+Historicals!H91+Historicals!H95+Historicals!H96)</f>
        <v>3470</v>
      </c>
      <c r="I64" s="26">
        <f>(Historicals!I93+Historicals!I94)-(Historicals!I89+Historicals!I90+Historicals!I91+Historicals!I95+Historicals!I96)</f>
        <v>6987</v>
      </c>
      <c r="J64" s="26">
        <f>(Historicals!J93+Historicals!J94)-(Historicals!J89+Historicals!J90+Historicals!J91+Historicals!J95+Historicals!J96)</f>
        <v>0</v>
      </c>
      <c r="K64" s="26">
        <f>(Historicals!K93+Historicals!K94)-(Historicals!K89+Historicals!K90+Historicals!K91+Historicals!K95+Historicals!K96)</f>
        <v>0</v>
      </c>
      <c r="L64" s="26">
        <f>(Historicals!L93+Historicals!L94)-(Historicals!L89+Historicals!L90+Historicals!L91+Historicals!L95+Historicals!L96)</f>
        <v>0</v>
      </c>
      <c r="M64" s="26">
        <f>(Historicals!M93+Historicals!M94)-(Historicals!M89+Historicals!M90+Historicals!M91+Historicals!M95+Historicals!M96)</f>
        <v>0</v>
      </c>
      <c r="N64" s="26">
        <f>(Historicals!N93+Historicals!N94)-(Historicals!N89+Historicals!N90+Historicals!N91+Historicals!N95+Historicals!N96)</f>
        <v>0</v>
      </c>
    </row>
    <row r="65" spans="1:14" x14ac:dyDescent="0.2">
      <c r="A65" t="s">
        <v>192</v>
      </c>
      <c r="B65" s="3">
        <f>Historicals!B100</f>
        <v>-83</v>
      </c>
      <c r="C65" s="3">
        <f>Historicals!C100</f>
        <v>-105</v>
      </c>
      <c r="D65" s="3">
        <f>Historicals!D100</f>
        <v>-20</v>
      </c>
      <c r="E65" s="3">
        <f>Historicals!E100</f>
        <v>45</v>
      </c>
      <c r="F65" s="3">
        <f>Historicals!F100</f>
        <v>-129</v>
      </c>
      <c r="G65" s="3">
        <f>Historicals!G100</f>
        <v>-66</v>
      </c>
      <c r="H65" s="3">
        <f>Historicals!H100</f>
        <v>143</v>
      </c>
      <c r="I65" s="3">
        <f>Historicals!I100</f>
        <v>-143</v>
      </c>
      <c r="J65" s="3">
        <f>Historicals!J100</f>
        <v>0</v>
      </c>
      <c r="K65" s="3">
        <f>Historicals!K100</f>
        <v>0</v>
      </c>
      <c r="L65" s="3">
        <f>Historicals!L100</f>
        <v>0</v>
      </c>
      <c r="M65" s="3">
        <f>Historicals!M100</f>
        <v>0</v>
      </c>
      <c r="N65" s="3">
        <f>Historicals!N100</f>
        <v>0</v>
      </c>
    </row>
    <row r="66" spans="1:14" x14ac:dyDescent="0.2">
      <c r="A66" s="27" t="s">
        <v>193</v>
      </c>
      <c r="B66" s="26">
        <f>B55+B58+B64</f>
        <v>8759</v>
      </c>
      <c r="C66" s="26">
        <f t="shared" ref="C66:N66" si="17">C55+C58+C64</f>
        <v>7290</v>
      </c>
      <c r="D66" s="26">
        <f t="shared" si="17"/>
        <v>7388</v>
      </c>
      <c r="E66" s="26">
        <f t="shared" si="17"/>
        <v>11477</v>
      </c>
      <c r="F66" s="26">
        <f t="shared" si="17"/>
        <v>12282</v>
      </c>
      <c r="G66" s="26">
        <f t="shared" si="17"/>
        <v>6812</v>
      </c>
      <c r="H66" s="26">
        <f t="shared" si="17"/>
        <v>6327</v>
      </c>
      <c r="I66" s="26">
        <f t="shared" si="17"/>
        <v>10651</v>
      </c>
      <c r="J66" s="26">
        <f t="shared" si="17"/>
        <v>0</v>
      </c>
      <c r="K66" s="26">
        <f t="shared" si="17"/>
        <v>0</v>
      </c>
      <c r="L66" s="26">
        <f t="shared" si="17"/>
        <v>0</v>
      </c>
      <c r="M66" s="26">
        <f t="shared" si="17"/>
        <v>0</v>
      </c>
      <c r="N66" s="26">
        <f t="shared" si="17"/>
        <v>0</v>
      </c>
    </row>
    <row r="67" spans="1:14" x14ac:dyDescent="0.2">
      <c r="A67" t="s">
        <v>194</v>
      </c>
      <c r="B67" s="3">
        <f>B66-Historicals!B103</f>
        <v>4907</v>
      </c>
      <c r="C67" s="3">
        <f>C66-Historicals!C103</f>
        <v>4152</v>
      </c>
      <c r="D67" s="3">
        <f>D66-Historicals!D103</f>
        <v>3580</v>
      </c>
      <c r="E67" s="3">
        <f>E66-Historicals!E103</f>
        <v>7228</v>
      </c>
      <c r="F67" s="3">
        <f>F66-Historicals!F103</f>
        <v>7816</v>
      </c>
      <c r="G67" s="3">
        <f>G66-Historicals!G103</f>
        <v>-1536</v>
      </c>
      <c r="H67" s="3">
        <f>H66-Historicals!H103</f>
        <v>-3562</v>
      </c>
      <c r="I67" s="3">
        <f>I66-Historicals!I103</f>
        <v>2077</v>
      </c>
      <c r="J67" s="3">
        <f>J66-Historicals!J103</f>
        <v>0</v>
      </c>
      <c r="K67" s="3">
        <f>K66-Historicals!K103</f>
        <v>0</v>
      </c>
      <c r="L67" s="3">
        <f>L66-Historicals!L103</f>
        <v>0</v>
      </c>
      <c r="M67" s="3">
        <f>M66-Historicals!M103</f>
        <v>0</v>
      </c>
      <c r="N67" s="3">
        <f>N66-Historicals!N103</f>
        <v>0</v>
      </c>
    </row>
    <row r="68" spans="1:14" ht="16" thickBot="1" x14ac:dyDescent="0.25">
      <c r="A68" s="6" t="s">
        <v>195</v>
      </c>
      <c r="B68" s="7">
        <f>SUM(B66:B67)</f>
        <v>13666</v>
      </c>
      <c r="C68" s="7">
        <f t="shared" ref="C68:N69" si="18">SUM(C66:C67)</f>
        <v>11442</v>
      </c>
      <c r="D68" s="7">
        <f t="shared" si="18"/>
        <v>10968</v>
      </c>
      <c r="E68" s="7">
        <f t="shared" si="18"/>
        <v>18705</v>
      </c>
      <c r="F68" s="7">
        <f t="shared" si="18"/>
        <v>20098</v>
      </c>
      <c r="G68" s="7">
        <f t="shared" si="18"/>
        <v>5276</v>
      </c>
      <c r="H68" s="7">
        <f t="shared" si="18"/>
        <v>2765</v>
      </c>
      <c r="I68" s="7">
        <f t="shared" si="18"/>
        <v>12728</v>
      </c>
      <c r="J68" s="7">
        <f t="shared" si="18"/>
        <v>0</v>
      </c>
      <c r="K68" s="7">
        <f t="shared" si="18"/>
        <v>0</v>
      </c>
      <c r="L68" s="7">
        <f t="shared" si="18"/>
        <v>0</v>
      </c>
      <c r="M68" s="7">
        <f t="shared" ref="M68:M69" si="19">SUM(M66:M67)</f>
        <v>0</v>
      </c>
      <c r="N68" s="7">
        <f t="shared" ref="N68:N69" si="20">SUM(N66:N67)</f>
        <v>0</v>
      </c>
    </row>
    <row r="69" spans="1:14" ht="17" thickTop="1" thickBot="1" x14ac:dyDescent="0.25">
      <c r="A69" s="1" t="s">
        <v>196</v>
      </c>
      <c r="B69" s="48">
        <f>(B33+B34+B36)-B21</f>
        <v>-2592</v>
      </c>
      <c r="C69" s="48">
        <f t="shared" ref="C69:N69" si="21">(C33+C34+C36)-C21</f>
        <v>-1083</v>
      </c>
      <c r="D69" s="48">
        <f t="shared" si="21"/>
        <v>-6</v>
      </c>
      <c r="E69" s="48">
        <f t="shared" si="21"/>
        <v>-439</v>
      </c>
      <c r="F69" s="48">
        <f t="shared" si="21"/>
        <v>-987</v>
      </c>
      <c r="G69" s="48">
        <f t="shared" si="21"/>
        <v>1309</v>
      </c>
      <c r="H69" s="48">
        <f t="shared" si="21"/>
        <v>-474</v>
      </c>
      <c r="I69" s="48">
        <f t="shared" si="21"/>
        <v>856</v>
      </c>
      <c r="J69" s="48">
        <f t="shared" si="21"/>
        <v>1492</v>
      </c>
      <c r="K69" s="48">
        <f t="shared" si="21"/>
        <v>-951</v>
      </c>
      <c r="L69" s="7">
        <f t="shared" si="18"/>
        <v>0</v>
      </c>
      <c r="M69" s="7">
        <f t="shared" si="19"/>
        <v>0</v>
      </c>
      <c r="N69" s="7">
        <f t="shared" si="20"/>
        <v>0</v>
      </c>
    </row>
    <row r="70" spans="1:14" ht="16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2024-10-20T20:36:30Z</dcterms:modified>
</cp:coreProperties>
</file>