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SajniShah/Documents/Quill Capital Partners - Investment Analyst Program/Level 2 - Financial Modelling/Task 11 - Linking Cash Flow Statement/"/>
    </mc:Choice>
  </mc:AlternateContent>
  <xr:revisionPtr revIDLastSave="0" documentId="13_ncr:1_{5C671AEB-065B-E843-B7EE-CE9C8897942C}" xr6:coauthVersionLast="47" xr6:coauthVersionMax="47" xr10:uidLastSave="{00000000-0000-0000-0000-000000000000}"/>
  <bookViews>
    <workbookView xWindow="2280" yWindow="900" windowWidth="26960" windowHeight="16680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9" i="4" l="1"/>
  <c r="D69" i="4"/>
  <c r="E69" i="4"/>
  <c r="F69" i="4"/>
  <c r="G69" i="4"/>
  <c r="H69" i="4"/>
  <c r="I69" i="4"/>
  <c r="J69" i="4"/>
  <c r="K69" i="4"/>
  <c r="L69" i="4"/>
  <c r="M69" i="4"/>
  <c r="N69" i="4"/>
  <c r="B69" i="4"/>
  <c r="C64" i="4"/>
  <c r="D64" i="4"/>
  <c r="E64" i="4"/>
  <c r="F64" i="4"/>
  <c r="G64" i="4"/>
  <c r="H64" i="4"/>
  <c r="I64" i="4"/>
  <c r="J64" i="4"/>
  <c r="J66" i="4" s="1"/>
  <c r="J67" i="4" s="1"/>
  <c r="K64" i="4"/>
  <c r="L64" i="4"/>
  <c r="M64" i="4"/>
  <c r="N64" i="4"/>
  <c r="B64" i="4"/>
  <c r="C63" i="4"/>
  <c r="D63" i="4"/>
  <c r="E63" i="4"/>
  <c r="F63" i="4"/>
  <c r="G63" i="4"/>
  <c r="H63" i="4"/>
  <c r="I63" i="4"/>
  <c r="B63" i="4"/>
  <c r="B66" i="4"/>
  <c r="B70" i="4"/>
  <c r="C70" i="4"/>
  <c r="D70" i="4"/>
  <c r="E70" i="4"/>
  <c r="F70" i="4"/>
  <c r="G70" i="4"/>
  <c r="H70" i="4"/>
  <c r="I70" i="4"/>
  <c r="J70" i="4"/>
  <c r="K70" i="4"/>
  <c r="L70" i="4"/>
  <c r="M70" i="4"/>
  <c r="N70" i="4"/>
  <c r="K66" i="4"/>
  <c r="L66" i="4"/>
  <c r="M66" i="4"/>
  <c r="N66" i="4"/>
  <c r="N67" i="4" s="1"/>
  <c r="C65" i="4"/>
  <c r="D65" i="4"/>
  <c r="E65" i="4"/>
  <c r="F65" i="4"/>
  <c r="G65" i="4"/>
  <c r="H65" i="4"/>
  <c r="I65" i="4"/>
  <c r="B65" i="4"/>
  <c r="C62" i="4"/>
  <c r="D62" i="4"/>
  <c r="E62" i="4"/>
  <c r="F62" i="4"/>
  <c r="G62" i="4"/>
  <c r="H62" i="4"/>
  <c r="I62" i="4"/>
  <c r="J62" i="4"/>
  <c r="K62" i="4"/>
  <c r="L62" i="4"/>
  <c r="M62" i="4"/>
  <c r="N62" i="4"/>
  <c r="B62" i="4"/>
  <c r="C61" i="4"/>
  <c r="D61" i="4"/>
  <c r="E61" i="4"/>
  <c r="F61" i="4"/>
  <c r="G61" i="4"/>
  <c r="H61" i="4"/>
  <c r="I61" i="4"/>
  <c r="B61" i="4"/>
  <c r="K60" i="4"/>
  <c r="L60" i="4"/>
  <c r="M60" i="4"/>
  <c r="N60" i="4"/>
  <c r="C59" i="4"/>
  <c r="D59" i="4"/>
  <c r="E59" i="4"/>
  <c r="F59" i="4"/>
  <c r="G59" i="4"/>
  <c r="H59" i="4"/>
  <c r="I59" i="4"/>
  <c r="B59" i="4"/>
  <c r="C58" i="4"/>
  <c r="D58" i="4"/>
  <c r="E58" i="4"/>
  <c r="F58" i="4"/>
  <c r="G58" i="4"/>
  <c r="H58" i="4"/>
  <c r="I58" i="4"/>
  <c r="B58" i="4"/>
  <c r="C57" i="4"/>
  <c r="D57" i="4"/>
  <c r="E57" i="4"/>
  <c r="F57" i="4"/>
  <c r="G57" i="4"/>
  <c r="H57" i="4"/>
  <c r="I57" i="4"/>
  <c r="B57" i="4"/>
  <c r="C56" i="4"/>
  <c r="D56" i="4"/>
  <c r="E56" i="4"/>
  <c r="F56" i="4"/>
  <c r="G56" i="4"/>
  <c r="H56" i="4"/>
  <c r="I56" i="4"/>
  <c r="J56" i="4"/>
  <c r="K56" i="4"/>
  <c r="L56" i="4"/>
  <c r="M56" i="4"/>
  <c r="N56" i="4"/>
  <c r="B56" i="4"/>
  <c r="C55" i="4"/>
  <c r="C66" i="4" s="1"/>
  <c r="D55" i="4"/>
  <c r="D66" i="4" s="1"/>
  <c r="E55" i="4"/>
  <c r="E66" i="4" s="1"/>
  <c r="F55" i="4"/>
  <c r="G55" i="4"/>
  <c r="H55" i="4"/>
  <c r="I55" i="4"/>
  <c r="B55" i="4"/>
  <c r="C54" i="4"/>
  <c r="D54" i="4"/>
  <c r="E54" i="4"/>
  <c r="F54" i="4"/>
  <c r="G54" i="4"/>
  <c r="H54" i="4"/>
  <c r="I54" i="4"/>
  <c r="B54" i="4"/>
  <c r="C52" i="4"/>
  <c r="D52" i="4"/>
  <c r="E52" i="4"/>
  <c r="F52" i="4"/>
  <c r="G52" i="4"/>
  <c r="H52" i="4"/>
  <c r="I52" i="4"/>
  <c r="B52" i="4"/>
  <c r="B51" i="4"/>
  <c r="C48" i="4"/>
  <c r="D48" i="4"/>
  <c r="E48" i="4"/>
  <c r="F48" i="4"/>
  <c r="G48" i="4"/>
  <c r="H48" i="4"/>
  <c r="I48" i="4"/>
  <c r="B48" i="4"/>
  <c r="I66" i="4" l="1"/>
  <c r="H66" i="4"/>
  <c r="G66" i="4"/>
  <c r="F66" i="4"/>
  <c r="F67" i="4" s="1"/>
  <c r="F68" i="4" s="1"/>
  <c r="G67" i="4"/>
  <c r="G68" i="4"/>
  <c r="E67" i="4"/>
  <c r="E68" i="4" s="1"/>
  <c r="D67" i="4"/>
  <c r="D68" i="4" s="1"/>
  <c r="C67" i="4"/>
  <c r="C68" i="4" s="1"/>
  <c r="B67" i="4"/>
  <c r="B68" i="4" s="1"/>
  <c r="I67" i="4"/>
  <c r="I68" i="4" s="1"/>
  <c r="H67" i="4"/>
  <c r="H68" i="4" s="1"/>
  <c r="M67" i="4"/>
  <c r="M68" i="4" s="1"/>
  <c r="J68" i="4"/>
  <c r="L67" i="4"/>
  <c r="L68" i="4" s="1"/>
  <c r="K67" i="4"/>
  <c r="K68" i="4" s="1"/>
  <c r="N68" i="4"/>
  <c r="C50" i="4"/>
  <c r="D50" i="4"/>
  <c r="E50" i="4"/>
  <c r="F50" i="4"/>
  <c r="G50" i="4"/>
  <c r="H50" i="4"/>
  <c r="I50" i="4"/>
  <c r="B50" i="4"/>
  <c r="C47" i="4"/>
  <c r="D47" i="4"/>
  <c r="E47" i="4"/>
  <c r="F47" i="4"/>
  <c r="G47" i="4"/>
  <c r="H47" i="4"/>
  <c r="I47" i="4"/>
  <c r="J47" i="4"/>
  <c r="K47" i="4"/>
  <c r="L47" i="4"/>
  <c r="M47" i="4"/>
  <c r="N47" i="4"/>
  <c r="B47" i="4"/>
  <c r="C46" i="4"/>
  <c r="D46" i="4"/>
  <c r="E46" i="4"/>
  <c r="F46" i="4"/>
  <c r="G46" i="4"/>
  <c r="H46" i="4"/>
  <c r="I46" i="4"/>
  <c r="J46" i="4"/>
  <c r="K46" i="4"/>
  <c r="L46" i="4"/>
  <c r="M46" i="4"/>
  <c r="N46" i="4"/>
  <c r="B46" i="4"/>
  <c r="J43" i="4"/>
  <c r="C42" i="4"/>
  <c r="D42" i="4"/>
  <c r="E42" i="4"/>
  <c r="F42" i="4"/>
  <c r="G42" i="4"/>
  <c r="H42" i="4"/>
  <c r="I42" i="4"/>
  <c r="B42" i="4"/>
  <c r="C41" i="4"/>
  <c r="D41" i="4"/>
  <c r="E41" i="4"/>
  <c r="F41" i="4"/>
  <c r="G41" i="4"/>
  <c r="H41" i="4"/>
  <c r="I41" i="4"/>
  <c r="B41" i="4"/>
  <c r="C40" i="4"/>
  <c r="D40" i="4"/>
  <c r="E40" i="4"/>
  <c r="F40" i="4"/>
  <c r="G40" i="4"/>
  <c r="H40" i="4"/>
  <c r="I40" i="4"/>
  <c r="B40" i="4"/>
  <c r="C38" i="4"/>
  <c r="D38" i="4"/>
  <c r="E38" i="4"/>
  <c r="F38" i="4"/>
  <c r="G38" i="4"/>
  <c r="H38" i="4"/>
  <c r="I38" i="4"/>
  <c r="B38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5" i="4"/>
  <c r="D35" i="4"/>
  <c r="E35" i="4"/>
  <c r="F35" i="4"/>
  <c r="G35" i="4"/>
  <c r="H35" i="4"/>
  <c r="I35" i="4"/>
  <c r="B35" i="4"/>
  <c r="C34" i="4"/>
  <c r="D34" i="4"/>
  <c r="E34" i="4"/>
  <c r="F34" i="4"/>
  <c r="G34" i="4"/>
  <c r="H34" i="4"/>
  <c r="I34" i="4"/>
  <c r="B34" i="4"/>
  <c r="B43" i="4" s="1"/>
  <c r="N42" i="4"/>
  <c r="M42" i="4"/>
  <c r="L42" i="4"/>
  <c r="K42" i="4"/>
  <c r="J42" i="4"/>
  <c r="N35" i="4"/>
  <c r="M35" i="4"/>
  <c r="M43" i="4" s="1"/>
  <c r="L35" i="4"/>
  <c r="L43" i="4" s="1"/>
  <c r="K35" i="4"/>
  <c r="J35" i="4"/>
  <c r="C33" i="4"/>
  <c r="D33" i="4"/>
  <c r="D43" i="4" s="1"/>
  <c r="E33" i="4"/>
  <c r="E43" i="4" s="1"/>
  <c r="F33" i="4"/>
  <c r="F43" i="4" s="1"/>
  <c r="G33" i="4"/>
  <c r="G43" i="4" s="1"/>
  <c r="H33" i="4"/>
  <c r="H43" i="4" s="1"/>
  <c r="I33" i="4"/>
  <c r="B33" i="4"/>
  <c r="C30" i="4"/>
  <c r="D30" i="4"/>
  <c r="E30" i="4"/>
  <c r="F30" i="4"/>
  <c r="G30" i="4"/>
  <c r="H30" i="4"/>
  <c r="I30" i="4"/>
  <c r="B30" i="4"/>
  <c r="C29" i="4"/>
  <c r="D29" i="4"/>
  <c r="E29" i="4"/>
  <c r="F29" i="4"/>
  <c r="G29" i="4"/>
  <c r="H29" i="4"/>
  <c r="I29" i="4"/>
  <c r="B29" i="4"/>
  <c r="C28" i="4"/>
  <c r="D28" i="4"/>
  <c r="E28" i="4"/>
  <c r="F28" i="4"/>
  <c r="G28" i="4"/>
  <c r="H28" i="4"/>
  <c r="I28" i="4"/>
  <c r="B28" i="4"/>
  <c r="C27" i="4"/>
  <c r="D27" i="4"/>
  <c r="E27" i="4"/>
  <c r="F27" i="4"/>
  <c r="G27" i="4"/>
  <c r="H27" i="4"/>
  <c r="I27" i="4"/>
  <c r="B27" i="4"/>
  <c r="C26" i="4"/>
  <c r="D26" i="4"/>
  <c r="E26" i="4"/>
  <c r="F26" i="4"/>
  <c r="G26" i="4"/>
  <c r="H26" i="4"/>
  <c r="I26" i="4"/>
  <c r="B26" i="4"/>
  <c r="C25" i="4"/>
  <c r="D25" i="4"/>
  <c r="E25" i="4"/>
  <c r="F25" i="4"/>
  <c r="G25" i="4"/>
  <c r="H25" i="4"/>
  <c r="I25" i="4"/>
  <c r="B25" i="4"/>
  <c r="C23" i="4"/>
  <c r="C51" i="4" s="1"/>
  <c r="D23" i="4"/>
  <c r="D51" i="4" s="1"/>
  <c r="E23" i="4"/>
  <c r="E51" i="4" s="1"/>
  <c r="F23" i="4"/>
  <c r="F51" i="4" s="1"/>
  <c r="G23" i="4"/>
  <c r="G51" i="4" s="1"/>
  <c r="H23" i="4"/>
  <c r="H51" i="4" s="1"/>
  <c r="I23" i="4"/>
  <c r="I51" i="4" s="1"/>
  <c r="B23" i="4"/>
  <c r="C21" i="4"/>
  <c r="D21" i="4"/>
  <c r="D60" i="4" s="1"/>
  <c r="E21" i="4"/>
  <c r="E60" i="4" s="1"/>
  <c r="F21" i="4"/>
  <c r="F60" i="4" s="1"/>
  <c r="G21" i="4"/>
  <c r="G60" i="4" s="1"/>
  <c r="H21" i="4"/>
  <c r="H60" i="4" s="1"/>
  <c r="I21" i="4"/>
  <c r="B21" i="4"/>
  <c r="B60" i="4" s="1"/>
  <c r="N25" i="4"/>
  <c r="N31" i="4" s="1"/>
  <c r="M25" i="4"/>
  <c r="M31" i="4" s="1"/>
  <c r="M44" i="4" s="1"/>
  <c r="L25" i="4"/>
  <c r="L31" i="4" s="1"/>
  <c r="L44" i="4" s="1"/>
  <c r="K25" i="4"/>
  <c r="K31" i="4" s="1"/>
  <c r="J25" i="4"/>
  <c r="J31" i="4" s="1"/>
  <c r="J44" i="4" s="1"/>
  <c r="N23" i="4"/>
  <c r="N51" i="4" s="1"/>
  <c r="M23" i="4"/>
  <c r="M51" i="4" s="1"/>
  <c r="L23" i="4"/>
  <c r="L51" i="4" s="1"/>
  <c r="K23" i="4"/>
  <c r="K51" i="4" s="1"/>
  <c r="J23" i="4"/>
  <c r="J51" i="4" s="1"/>
  <c r="E31" i="4"/>
  <c r="E44" i="4" s="1"/>
  <c r="B31" i="4"/>
  <c r="B44" i="4" s="1"/>
  <c r="N19" i="4"/>
  <c r="L19" i="4"/>
  <c r="N17" i="4"/>
  <c r="M17" i="4"/>
  <c r="M19" i="4" s="1"/>
  <c r="L17" i="4"/>
  <c r="K17" i="4"/>
  <c r="K19" i="4" s="1"/>
  <c r="J17" i="4"/>
  <c r="J19" i="4" s="1"/>
  <c r="C17" i="4"/>
  <c r="D17" i="4"/>
  <c r="E17" i="4"/>
  <c r="F17" i="4"/>
  <c r="F19" i="4" s="1"/>
  <c r="G17" i="4"/>
  <c r="G19" i="4" s="1"/>
  <c r="H17" i="4"/>
  <c r="H19" i="4" s="1"/>
  <c r="I17" i="4"/>
  <c r="I19" i="4" s="1"/>
  <c r="B17" i="4"/>
  <c r="C16" i="4"/>
  <c r="D16" i="4"/>
  <c r="E16" i="4"/>
  <c r="F16" i="4"/>
  <c r="G16" i="4"/>
  <c r="H16" i="4"/>
  <c r="I16" i="4"/>
  <c r="B16" i="4"/>
  <c r="C15" i="4"/>
  <c r="D15" i="4"/>
  <c r="E15" i="4"/>
  <c r="F15" i="4"/>
  <c r="G15" i="4"/>
  <c r="H15" i="4"/>
  <c r="I15" i="4"/>
  <c r="B15" i="4"/>
  <c r="C12" i="4"/>
  <c r="D12" i="4"/>
  <c r="E12" i="4"/>
  <c r="F12" i="4"/>
  <c r="G12" i="4"/>
  <c r="H12" i="4"/>
  <c r="I12" i="4"/>
  <c r="B12" i="4"/>
  <c r="I10" i="4"/>
  <c r="E19" i="4" l="1"/>
  <c r="D19" i="4"/>
  <c r="C60" i="4"/>
  <c r="C43" i="4"/>
  <c r="C19" i="4"/>
  <c r="B19" i="4"/>
  <c r="I31" i="4"/>
  <c r="I60" i="4"/>
  <c r="J60" i="4"/>
  <c r="I43" i="4"/>
  <c r="K43" i="4"/>
  <c r="K44" i="4" s="1"/>
  <c r="N43" i="4"/>
  <c r="N44" i="4" s="1"/>
  <c r="C31" i="4"/>
  <c r="D31" i="4"/>
  <c r="D44" i="4" s="1"/>
  <c r="G31" i="4"/>
  <c r="G44" i="4" s="1"/>
  <c r="F31" i="4"/>
  <c r="F44" i="4" s="1"/>
  <c r="H31" i="4"/>
  <c r="H44" i="4" s="1"/>
  <c r="I44" i="4" l="1"/>
  <c r="C44" i="4"/>
  <c r="C10" i="4" l="1"/>
  <c r="D10" i="4"/>
  <c r="E10" i="4"/>
  <c r="F10" i="4"/>
  <c r="G10" i="4"/>
  <c r="H10" i="4"/>
  <c r="B10" i="4"/>
  <c r="J4" i="4" l="1"/>
  <c r="K4" i="4"/>
  <c r="L4" i="4"/>
  <c r="M4" i="4"/>
  <c r="N4" i="4"/>
  <c r="I48" i="3" l="1"/>
  <c r="H48" i="3"/>
  <c r="G48" i="3"/>
  <c r="F48" i="3"/>
  <c r="E48" i="3"/>
  <c r="D48" i="3"/>
  <c r="C48" i="3"/>
  <c r="B48" i="3"/>
  <c r="B49" i="3" s="1"/>
  <c r="I45" i="3"/>
  <c r="H45" i="3"/>
  <c r="H47" i="3" s="1"/>
  <c r="G45" i="3"/>
  <c r="H46" i="3" s="1"/>
  <c r="F45" i="3"/>
  <c r="E45" i="3"/>
  <c r="D45" i="3"/>
  <c r="C45" i="3"/>
  <c r="B45" i="3"/>
  <c r="I42" i="3"/>
  <c r="I43" i="3" s="1"/>
  <c r="H42" i="3"/>
  <c r="H35" i="3" s="1"/>
  <c r="H37" i="3" s="1"/>
  <c r="G42" i="3"/>
  <c r="G44" i="3" s="1"/>
  <c r="F42" i="3"/>
  <c r="F43" i="3" s="1"/>
  <c r="E42" i="3"/>
  <c r="D42" i="3"/>
  <c r="C42" i="3"/>
  <c r="B42" i="3"/>
  <c r="H41" i="3"/>
  <c r="H40" i="3"/>
  <c r="G40" i="3"/>
  <c r="I38" i="3"/>
  <c r="H38" i="3"/>
  <c r="G38" i="3"/>
  <c r="F38" i="3"/>
  <c r="E38" i="3"/>
  <c r="D38" i="3"/>
  <c r="C38" i="3"/>
  <c r="C39" i="3" s="1"/>
  <c r="B38" i="3"/>
  <c r="B41" i="3" s="1"/>
  <c r="I33" i="3"/>
  <c r="J33" i="3" s="1"/>
  <c r="K33" i="3" s="1"/>
  <c r="L33" i="3" s="1"/>
  <c r="M33" i="3" s="1"/>
  <c r="N33" i="3" s="1"/>
  <c r="H33" i="3"/>
  <c r="G33" i="3"/>
  <c r="F33" i="3"/>
  <c r="E33" i="3"/>
  <c r="D33" i="3"/>
  <c r="C33" i="3"/>
  <c r="B33" i="3"/>
  <c r="I31" i="3"/>
  <c r="J31" i="3" s="1"/>
  <c r="K31" i="3" s="1"/>
  <c r="L31" i="3" s="1"/>
  <c r="M31" i="3" s="1"/>
  <c r="N31" i="3" s="1"/>
  <c r="H31" i="3"/>
  <c r="G31" i="3"/>
  <c r="F31" i="3"/>
  <c r="E31" i="3"/>
  <c r="D31" i="3"/>
  <c r="C31" i="3"/>
  <c r="B31" i="3"/>
  <c r="B32" i="3" s="1"/>
  <c r="B34" i="3" s="1"/>
  <c r="M29" i="3"/>
  <c r="N29" i="3" s="1"/>
  <c r="I29" i="3"/>
  <c r="J29" i="3" s="1"/>
  <c r="K29" i="3" s="1"/>
  <c r="L29" i="3" s="1"/>
  <c r="H29" i="3"/>
  <c r="G29" i="3"/>
  <c r="F29" i="3"/>
  <c r="E29" i="3"/>
  <c r="D29" i="3"/>
  <c r="C29" i="3"/>
  <c r="B29" i="3"/>
  <c r="I27" i="3"/>
  <c r="J27" i="3" s="1"/>
  <c r="K27" i="3" s="1"/>
  <c r="L27" i="3" s="1"/>
  <c r="M27" i="3" s="1"/>
  <c r="N27" i="3" s="1"/>
  <c r="H27" i="3"/>
  <c r="G27" i="3"/>
  <c r="F27" i="3"/>
  <c r="G28" i="3" s="1"/>
  <c r="E27" i="3"/>
  <c r="E28" i="3" s="1"/>
  <c r="E30" i="3" s="1"/>
  <c r="D27" i="3"/>
  <c r="C27" i="3"/>
  <c r="B27" i="3"/>
  <c r="B28" i="3" s="1"/>
  <c r="I25" i="3"/>
  <c r="J25" i="3" s="1"/>
  <c r="K25" i="3" s="1"/>
  <c r="L25" i="3" s="1"/>
  <c r="M25" i="3" s="1"/>
  <c r="N25" i="3" s="1"/>
  <c r="H25" i="3"/>
  <c r="G25" i="3"/>
  <c r="F25" i="3"/>
  <c r="E25" i="3"/>
  <c r="D25" i="3"/>
  <c r="C25" i="3"/>
  <c r="B25" i="3"/>
  <c r="I23" i="3"/>
  <c r="J23" i="3" s="1"/>
  <c r="K23" i="3" s="1"/>
  <c r="L23" i="3" s="1"/>
  <c r="M23" i="3" s="1"/>
  <c r="N23" i="3" s="1"/>
  <c r="H23" i="3"/>
  <c r="G23" i="3"/>
  <c r="H24" i="3" s="1"/>
  <c r="F23" i="3"/>
  <c r="E23" i="3"/>
  <c r="D23" i="3"/>
  <c r="C23" i="3"/>
  <c r="B23" i="3"/>
  <c r="B24" i="3" s="1"/>
  <c r="B26" i="3" s="1"/>
  <c r="K22" i="3"/>
  <c r="L22" i="3" s="1"/>
  <c r="M22" i="3" s="1"/>
  <c r="N22" i="3" s="1"/>
  <c r="I21" i="3"/>
  <c r="I22" i="3" s="1"/>
  <c r="H21" i="3"/>
  <c r="G21" i="3"/>
  <c r="F21" i="3"/>
  <c r="E21" i="3"/>
  <c r="D21" i="3"/>
  <c r="C21" i="3"/>
  <c r="B21" i="3"/>
  <c r="B22" i="3" s="1"/>
  <c r="A20" i="3"/>
  <c r="I17" i="3"/>
  <c r="H17" i="3"/>
  <c r="G17" i="3"/>
  <c r="F17" i="3"/>
  <c r="E17" i="3"/>
  <c r="E18" i="3" s="1"/>
  <c r="D17" i="3"/>
  <c r="C17" i="3"/>
  <c r="B17" i="3"/>
  <c r="B18" i="3" s="1"/>
  <c r="I14" i="3"/>
  <c r="I15" i="3" s="1"/>
  <c r="H14" i="3"/>
  <c r="G14" i="3"/>
  <c r="F14" i="3"/>
  <c r="E14" i="3"/>
  <c r="D14" i="3"/>
  <c r="C14" i="3"/>
  <c r="B14" i="3"/>
  <c r="B15" i="3" s="1"/>
  <c r="I11" i="3"/>
  <c r="H11" i="3"/>
  <c r="H7" i="4" s="1"/>
  <c r="H11" i="4" s="1"/>
  <c r="G11" i="3"/>
  <c r="G7" i="4" s="1"/>
  <c r="G11" i="4" s="1"/>
  <c r="F11" i="3"/>
  <c r="E11" i="3"/>
  <c r="E7" i="4" s="1"/>
  <c r="E11" i="4" s="1"/>
  <c r="D11" i="3"/>
  <c r="C11" i="3"/>
  <c r="B11" i="3"/>
  <c r="I8" i="3"/>
  <c r="I6" i="4" s="1"/>
  <c r="H8" i="3"/>
  <c r="H6" i="4" s="1"/>
  <c r="G8" i="3"/>
  <c r="G6" i="4" s="1"/>
  <c r="F8" i="3"/>
  <c r="F6" i="4" s="1"/>
  <c r="E8" i="3"/>
  <c r="D8" i="3"/>
  <c r="C8" i="3"/>
  <c r="B8" i="3"/>
  <c r="I3" i="3"/>
  <c r="I3" i="4" s="1"/>
  <c r="H3" i="3"/>
  <c r="H3" i="4" s="1"/>
  <c r="G3" i="3"/>
  <c r="G3" i="4" s="1"/>
  <c r="F3" i="3"/>
  <c r="E3" i="3"/>
  <c r="D3" i="3"/>
  <c r="D3" i="4" s="1"/>
  <c r="C3" i="3"/>
  <c r="C3" i="4" s="1"/>
  <c r="B3" i="3"/>
  <c r="B3" i="4" s="1"/>
  <c r="L1" i="3"/>
  <c r="M1" i="3" s="1"/>
  <c r="N1" i="3" s="1"/>
  <c r="J1" i="3"/>
  <c r="K1" i="3" s="1"/>
  <c r="H1" i="3"/>
  <c r="G1" i="3"/>
  <c r="F1" i="3" s="1"/>
  <c r="E1" i="3"/>
  <c r="D1" i="3"/>
  <c r="C1" i="3"/>
  <c r="B1" i="3"/>
  <c r="E14" i="4" l="1"/>
  <c r="E13" i="4"/>
  <c r="E49" i="4" s="1"/>
  <c r="E53" i="4" s="1"/>
  <c r="H14" i="4"/>
  <c r="H13" i="4"/>
  <c r="H49" i="4" s="1"/>
  <c r="H53" i="4" s="1"/>
  <c r="G13" i="4"/>
  <c r="G49" i="4" s="1"/>
  <c r="G53" i="4" s="1"/>
  <c r="G14" i="4"/>
  <c r="D39" i="3"/>
  <c r="F16" i="3"/>
  <c r="F19" i="3"/>
  <c r="F41" i="3"/>
  <c r="H43" i="3"/>
  <c r="H15" i="3"/>
  <c r="H39" i="3"/>
  <c r="I47" i="3"/>
  <c r="J47" i="3" s="1"/>
  <c r="K47" i="3" s="1"/>
  <c r="L47" i="3" s="1"/>
  <c r="M47" i="3" s="1"/>
  <c r="N47" i="3" s="1"/>
  <c r="J21" i="3"/>
  <c r="C41" i="3"/>
  <c r="F13" i="3"/>
  <c r="F9" i="4" s="1"/>
  <c r="C40" i="3"/>
  <c r="G5" i="3"/>
  <c r="G5" i="4" s="1"/>
  <c r="G9" i="3"/>
  <c r="H44" i="3"/>
  <c r="E24" i="3"/>
  <c r="E26" i="3" s="1"/>
  <c r="I50" i="3"/>
  <c r="J50" i="3" s="1"/>
  <c r="K50" i="3" s="1"/>
  <c r="L50" i="3" s="1"/>
  <c r="M50" i="3" s="1"/>
  <c r="N50" i="3" s="1"/>
  <c r="D10" i="3"/>
  <c r="D6" i="4"/>
  <c r="B12" i="3"/>
  <c r="B8" i="4" s="1"/>
  <c r="B7" i="4"/>
  <c r="B11" i="4" s="1"/>
  <c r="C12" i="3"/>
  <c r="C8" i="4" s="1"/>
  <c r="B47" i="3"/>
  <c r="B30" i="3"/>
  <c r="F32" i="3"/>
  <c r="F34" i="3" s="1"/>
  <c r="G41" i="3"/>
  <c r="I46" i="3"/>
  <c r="D15" i="3"/>
  <c r="G22" i="3"/>
  <c r="B39" i="3"/>
  <c r="G46" i="3"/>
  <c r="E4" i="3"/>
  <c r="E4" i="4" s="1"/>
  <c r="E3" i="4"/>
  <c r="B5" i="3"/>
  <c r="E9" i="3"/>
  <c r="E6" i="4"/>
  <c r="C13" i="3"/>
  <c r="C9" i="4" s="1"/>
  <c r="C7" i="4"/>
  <c r="C11" i="4" s="1"/>
  <c r="D12" i="3"/>
  <c r="D8" i="4" s="1"/>
  <c r="H22" i="3"/>
  <c r="H26" i="3"/>
  <c r="F10" i="3"/>
  <c r="F3" i="4"/>
  <c r="D5" i="3"/>
  <c r="D5" i="4" s="1"/>
  <c r="D13" i="3"/>
  <c r="D9" i="4" s="1"/>
  <c r="D7" i="4"/>
  <c r="D11" i="4" s="1"/>
  <c r="C28" i="3"/>
  <c r="C30" i="3" s="1"/>
  <c r="F28" i="3"/>
  <c r="F30" i="3" s="1"/>
  <c r="I44" i="3"/>
  <c r="G12" i="3"/>
  <c r="G8" i="4" s="1"/>
  <c r="F7" i="4"/>
  <c r="F11" i="4" s="1"/>
  <c r="F40" i="3"/>
  <c r="C4" i="3"/>
  <c r="C4" i="4" s="1"/>
  <c r="I5" i="3"/>
  <c r="I5" i="4" s="1"/>
  <c r="I7" i="4"/>
  <c r="D4" i="3"/>
  <c r="D4" i="4" s="1"/>
  <c r="F5" i="3"/>
  <c r="F5" i="4" s="1"/>
  <c r="I18" i="3"/>
  <c r="F22" i="3"/>
  <c r="C49" i="3"/>
  <c r="I49" i="3"/>
  <c r="B4" i="3"/>
  <c r="B4" i="4" s="1"/>
  <c r="B9" i="3"/>
  <c r="B6" i="4"/>
  <c r="F9" i="3"/>
  <c r="F18" i="3"/>
  <c r="I24" i="3"/>
  <c r="I26" i="3" s="1"/>
  <c r="J26" i="3" s="1"/>
  <c r="K26" i="3" s="1"/>
  <c r="L26" i="3" s="1"/>
  <c r="M26" i="3" s="1"/>
  <c r="N26" i="3" s="1"/>
  <c r="C32" i="3"/>
  <c r="C34" i="3" s="1"/>
  <c r="E35" i="3"/>
  <c r="C50" i="3"/>
  <c r="D9" i="3"/>
  <c r="C6" i="4"/>
  <c r="I40" i="3"/>
  <c r="G43" i="3"/>
  <c r="G4" i="3"/>
  <c r="G4" i="4" s="1"/>
  <c r="G10" i="3"/>
  <c r="G13" i="3"/>
  <c r="G9" i="4" s="1"/>
  <c r="F15" i="3"/>
  <c r="H4" i="3"/>
  <c r="H4" i="4" s="1"/>
  <c r="H16" i="3"/>
  <c r="B10" i="3"/>
  <c r="H13" i="3"/>
  <c r="H9" i="4" s="1"/>
  <c r="B6" i="3"/>
  <c r="H12" i="3"/>
  <c r="H8" i="4" s="1"/>
  <c r="H5" i="3"/>
  <c r="H5" i="4" s="1"/>
  <c r="E16" i="3"/>
  <c r="G32" i="3"/>
  <c r="G34" i="3" s="1"/>
  <c r="F4" i="3"/>
  <c r="F4" i="4" s="1"/>
  <c r="H10" i="3"/>
  <c r="H9" i="3"/>
  <c r="E15" i="3"/>
  <c r="G16" i="3"/>
  <c r="G19" i="3"/>
  <c r="H18" i="3"/>
  <c r="G18" i="3"/>
  <c r="J48" i="3"/>
  <c r="K21" i="3"/>
  <c r="J45" i="3"/>
  <c r="J46" i="3" s="1"/>
  <c r="C24" i="3"/>
  <c r="C26" i="3" s="1"/>
  <c r="D24" i="3"/>
  <c r="D26" i="3" s="1"/>
  <c r="H28" i="3"/>
  <c r="H30" i="3" s="1"/>
  <c r="I28" i="3"/>
  <c r="I30" i="3" s="1"/>
  <c r="J30" i="3" s="1"/>
  <c r="K30" i="3" s="1"/>
  <c r="L30" i="3" s="1"/>
  <c r="M30" i="3" s="1"/>
  <c r="N30" i="3" s="1"/>
  <c r="D49" i="3"/>
  <c r="D41" i="3"/>
  <c r="D50" i="3"/>
  <c r="E50" i="3"/>
  <c r="E49" i="3"/>
  <c r="D6" i="3"/>
  <c r="G15" i="3"/>
  <c r="D22" i="3"/>
  <c r="D40" i="3"/>
  <c r="E10" i="3"/>
  <c r="E13" i="3"/>
  <c r="E9" i="4" s="1"/>
  <c r="E5" i="3"/>
  <c r="E5" i="4" s="1"/>
  <c r="F12" i="3"/>
  <c r="F8" i="4" s="1"/>
  <c r="E12" i="3"/>
  <c r="E8" i="4" s="1"/>
  <c r="C19" i="3"/>
  <c r="C18" i="3"/>
  <c r="H19" i="3"/>
  <c r="D35" i="3"/>
  <c r="D43" i="3"/>
  <c r="D44" i="3"/>
  <c r="E46" i="3"/>
  <c r="E47" i="3"/>
  <c r="F49" i="3"/>
  <c r="B50" i="3"/>
  <c r="B19" i="3"/>
  <c r="F24" i="3"/>
  <c r="F26" i="3" s="1"/>
  <c r="H32" i="3"/>
  <c r="H34" i="3" s="1"/>
  <c r="I32" i="3"/>
  <c r="I34" i="3" s="1"/>
  <c r="J34" i="3" s="1"/>
  <c r="K34" i="3" s="1"/>
  <c r="L34" i="3" s="1"/>
  <c r="M34" i="3" s="1"/>
  <c r="N34" i="3" s="1"/>
  <c r="D46" i="3"/>
  <c r="D47" i="3"/>
  <c r="B16" i="3"/>
  <c r="J3" i="3"/>
  <c r="J3" i="4" s="1"/>
  <c r="I4" i="3"/>
  <c r="I4" i="4" s="1"/>
  <c r="I16" i="3"/>
  <c r="J16" i="3" s="1"/>
  <c r="K16" i="3" s="1"/>
  <c r="L16" i="3" s="1"/>
  <c r="M16" i="3" s="1"/>
  <c r="N16" i="3" s="1"/>
  <c r="I19" i="3"/>
  <c r="J19" i="3" s="1"/>
  <c r="K19" i="3" s="1"/>
  <c r="L19" i="3" s="1"/>
  <c r="M19" i="3" s="1"/>
  <c r="N19" i="3" s="1"/>
  <c r="C9" i="3"/>
  <c r="C5" i="3"/>
  <c r="C5" i="4" s="1"/>
  <c r="C10" i="3"/>
  <c r="I13" i="3"/>
  <c r="I9" i="4" s="1"/>
  <c r="E22" i="3"/>
  <c r="E40" i="3"/>
  <c r="G24" i="3"/>
  <c r="G26" i="3" s="1"/>
  <c r="C43" i="3"/>
  <c r="C35" i="3"/>
  <c r="C44" i="3"/>
  <c r="I10" i="3"/>
  <c r="J10" i="3" s="1"/>
  <c r="K10" i="3" s="1"/>
  <c r="L10" i="3" s="1"/>
  <c r="M10" i="3" s="1"/>
  <c r="N10" i="3" s="1"/>
  <c r="I12" i="3"/>
  <c r="I8" i="4" s="1"/>
  <c r="F7" i="3"/>
  <c r="D16" i="3"/>
  <c r="E19" i="3"/>
  <c r="G30" i="3"/>
  <c r="I9" i="3"/>
  <c r="C15" i="3"/>
  <c r="C16" i="3"/>
  <c r="I35" i="3"/>
  <c r="B40" i="3"/>
  <c r="I39" i="3"/>
  <c r="B43" i="3"/>
  <c r="B35" i="3"/>
  <c r="C46" i="3"/>
  <c r="B13" i="3"/>
  <c r="B9" i="4" s="1"/>
  <c r="D18" i="3"/>
  <c r="D19" i="3"/>
  <c r="F39" i="3"/>
  <c r="I41" i="3"/>
  <c r="J41" i="3" s="1"/>
  <c r="F44" i="3"/>
  <c r="G47" i="3"/>
  <c r="B46" i="3"/>
  <c r="G50" i="3"/>
  <c r="E44" i="3"/>
  <c r="C22" i="3"/>
  <c r="D32" i="3"/>
  <c r="D34" i="3" s="1"/>
  <c r="F35" i="3"/>
  <c r="G39" i="3"/>
  <c r="H50" i="3"/>
  <c r="G49" i="3"/>
  <c r="D28" i="3"/>
  <c r="D30" i="3" s="1"/>
  <c r="E41" i="3"/>
  <c r="F47" i="3"/>
  <c r="F50" i="3"/>
  <c r="E32" i="3"/>
  <c r="E34" i="3" s="1"/>
  <c r="G35" i="3"/>
  <c r="E39" i="3"/>
  <c r="E43" i="3"/>
  <c r="B44" i="3"/>
  <c r="F46" i="3"/>
  <c r="C47" i="3"/>
  <c r="H49" i="3"/>
  <c r="I187" i="1"/>
  <c r="I190" i="1" s="1"/>
  <c r="I191" i="1" s="1"/>
  <c r="H187" i="1"/>
  <c r="H190" i="1" s="1"/>
  <c r="H191" i="1" s="1"/>
  <c r="G187" i="1"/>
  <c r="G190" i="1" s="1"/>
  <c r="G191" i="1" s="1"/>
  <c r="F187" i="1"/>
  <c r="F190" i="1" s="1"/>
  <c r="F191" i="1" s="1"/>
  <c r="E187" i="1"/>
  <c r="E190" i="1" s="1"/>
  <c r="E191" i="1" s="1"/>
  <c r="D182" i="1"/>
  <c r="D187" i="1" s="1"/>
  <c r="D190" i="1" s="1"/>
  <c r="D191" i="1" s="1"/>
  <c r="C182" i="1"/>
  <c r="C187" i="1" s="1"/>
  <c r="C190" i="1" s="1"/>
  <c r="C191" i="1" s="1"/>
  <c r="B182" i="1"/>
  <c r="B187" i="1" s="1"/>
  <c r="B190" i="1" s="1"/>
  <c r="B191" i="1" s="1"/>
  <c r="I175" i="1"/>
  <c r="I177" i="1" s="1"/>
  <c r="H175" i="1"/>
  <c r="G175" i="1"/>
  <c r="F175" i="1"/>
  <c r="E175" i="1"/>
  <c r="C175" i="1"/>
  <c r="B175" i="1"/>
  <c r="D170" i="1"/>
  <c r="D175" i="1" s="1"/>
  <c r="C170" i="1"/>
  <c r="B170" i="1"/>
  <c r="I163" i="1"/>
  <c r="I166" i="1" s="1"/>
  <c r="I167" i="1" s="1"/>
  <c r="H163" i="1"/>
  <c r="H166" i="1" s="1"/>
  <c r="H167" i="1" s="1"/>
  <c r="G163" i="1"/>
  <c r="G166" i="1" s="1"/>
  <c r="G167" i="1" s="1"/>
  <c r="F163" i="1"/>
  <c r="F166" i="1" s="1"/>
  <c r="F167" i="1" s="1"/>
  <c r="E163" i="1"/>
  <c r="E166" i="1" s="1"/>
  <c r="E167" i="1" s="1"/>
  <c r="D163" i="1"/>
  <c r="D166" i="1" s="1"/>
  <c r="D167" i="1" s="1"/>
  <c r="C163" i="1"/>
  <c r="C166" i="1" s="1"/>
  <c r="C167" i="1" s="1"/>
  <c r="D158" i="1"/>
  <c r="C158" i="1"/>
  <c r="B158" i="1"/>
  <c r="B163" i="1" s="1"/>
  <c r="B166" i="1" s="1"/>
  <c r="B167" i="1" s="1"/>
  <c r="G154" i="1"/>
  <c r="I151" i="1"/>
  <c r="I154" i="1" s="1"/>
  <c r="H151" i="1"/>
  <c r="H154" i="1" s="1"/>
  <c r="G151" i="1"/>
  <c r="F151" i="1"/>
  <c r="F154" i="1" s="1"/>
  <c r="E151" i="1"/>
  <c r="E154" i="1" s="1"/>
  <c r="D151" i="1"/>
  <c r="D154" i="1" s="1"/>
  <c r="C151" i="1"/>
  <c r="C154" i="1" s="1"/>
  <c r="B146" i="1"/>
  <c r="B151" i="1" s="1"/>
  <c r="B154" i="1" s="1"/>
  <c r="I143" i="1"/>
  <c r="H143" i="1"/>
  <c r="G143" i="1"/>
  <c r="F143" i="1"/>
  <c r="E143" i="1"/>
  <c r="D143" i="1"/>
  <c r="C143" i="1"/>
  <c r="I136" i="1"/>
  <c r="H136" i="1"/>
  <c r="D135" i="1"/>
  <c r="D142" i="1" s="1"/>
  <c r="C135" i="1"/>
  <c r="C142" i="1" s="1"/>
  <c r="I126" i="1"/>
  <c r="H126" i="1"/>
  <c r="G126" i="1"/>
  <c r="F126" i="1"/>
  <c r="E126" i="1"/>
  <c r="B126" i="1"/>
  <c r="I122" i="1"/>
  <c r="H122" i="1"/>
  <c r="G122" i="1"/>
  <c r="F122" i="1"/>
  <c r="E122" i="1"/>
  <c r="B122" i="1"/>
  <c r="C121" i="1"/>
  <c r="B121" i="1"/>
  <c r="C120" i="1"/>
  <c r="B120" i="1"/>
  <c r="C119" i="1"/>
  <c r="B119" i="1"/>
  <c r="I118" i="1"/>
  <c r="H118" i="1"/>
  <c r="G118" i="1"/>
  <c r="F118" i="1"/>
  <c r="E118" i="1"/>
  <c r="B118" i="1"/>
  <c r="B135" i="1" s="1"/>
  <c r="B142" i="1" s="1"/>
  <c r="I114" i="1"/>
  <c r="I135" i="1" s="1"/>
  <c r="I142" i="1" s="1"/>
  <c r="B143" i="1" s="1"/>
  <c r="H114" i="1"/>
  <c r="H135" i="1" s="1"/>
  <c r="H142" i="1" s="1"/>
  <c r="G114" i="1"/>
  <c r="G135" i="1" s="1"/>
  <c r="G142" i="1" s="1"/>
  <c r="F114" i="1"/>
  <c r="F135" i="1" s="1"/>
  <c r="F142" i="1" s="1"/>
  <c r="E114" i="1"/>
  <c r="E135" i="1" s="1"/>
  <c r="E142" i="1" s="1"/>
  <c r="B114" i="1"/>
  <c r="G104" i="1"/>
  <c r="F104" i="1"/>
  <c r="E104" i="1"/>
  <c r="D104" i="1"/>
  <c r="C104" i="1"/>
  <c r="B104" i="1"/>
  <c r="I99" i="1"/>
  <c r="H99" i="1"/>
  <c r="G99" i="1"/>
  <c r="F99" i="1"/>
  <c r="E99" i="1"/>
  <c r="D99" i="1"/>
  <c r="C99" i="1"/>
  <c r="B99" i="1"/>
  <c r="I86" i="1"/>
  <c r="H86" i="1"/>
  <c r="G86" i="1"/>
  <c r="F86" i="1"/>
  <c r="E86" i="1"/>
  <c r="D86" i="1"/>
  <c r="C86" i="1"/>
  <c r="B86" i="1"/>
  <c r="G77" i="1"/>
  <c r="G101" i="1" s="1"/>
  <c r="F77" i="1"/>
  <c r="F101" i="1" s="1"/>
  <c r="E77" i="1"/>
  <c r="E101" i="1" s="1"/>
  <c r="D77" i="1"/>
  <c r="D101" i="1" s="1"/>
  <c r="C77" i="1"/>
  <c r="C101" i="1" s="1"/>
  <c r="B77" i="1"/>
  <c r="B101" i="1" s="1"/>
  <c r="H60" i="1"/>
  <c r="I59" i="1"/>
  <c r="I60" i="1" s="1"/>
  <c r="H59" i="1"/>
  <c r="G59" i="1"/>
  <c r="G60" i="1" s="1"/>
  <c r="G61" i="1" s="1"/>
  <c r="F59" i="1"/>
  <c r="F60" i="1" s="1"/>
  <c r="F61" i="1" s="1"/>
  <c r="E59" i="1"/>
  <c r="E60" i="1" s="1"/>
  <c r="E61" i="1" s="1"/>
  <c r="D59" i="1"/>
  <c r="D60" i="1" s="1"/>
  <c r="C59" i="1"/>
  <c r="C60" i="1" s="1"/>
  <c r="B59" i="1"/>
  <c r="B60" i="1" s="1"/>
  <c r="I46" i="1"/>
  <c r="H46" i="1"/>
  <c r="G46" i="1"/>
  <c r="F46" i="1"/>
  <c r="E46" i="1"/>
  <c r="D46" i="1"/>
  <c r="C46" i="1"/>
  <c r="B46" i="1"/>
  <c r="G37" i="1"/>
  <c r="F37" i="1"/>
  <c r="I31" i="1"/>
  <c r="I37" i="1" s="1"/>
  <c r="H31" i="1"/>
  <c r="H37" i="1" s="1"/>
  <c r="G31" i="1"/>
  <c r="F31" i="1"/>
  <c r="E31" i="1"/>
  <c r="E37" i="1" s="1"/>
  <c r="D31" i="1"/>
  <c r="D37" i="1" s="1"/>
  <c r="C31" i="1"/>
  <c r="C37" i="1" s="1"/>
  <c r="B31" i="1"/>
  <c r="B37" i="1" s="1"/>
  <c r="I7" i="1"/>
  <c r="H7" i="1"/>
  <c r="G7" i="1"/>
  <c r="F7" i="1"/>
  <c r="E7" i="1"/>
  <c r="D7" i="1"/>
  <c r="C7" i="1"/>
  <c r="B7" i="1"/>
  <c r="I4" i="1"/>
  <c r="I10" i="1" s="1"/>
  <c r="I12" i="1" s="1"/>
  <c r="H4" i="1"/>
  <c r="H10" i="1" s="1"/>
  <c r="H12" i="1" s="1"/>
  <c r="G4" i="1"/>
  <c r="G10" i="1" s="1"/>
  <c r="G12" i="1" s="1"/>
  <c r="G20" i="1" s="1"/>
  <c r="F4" i="1"/>
  <c r="F10" i="1" s="1"/>
  <c r="F12" i="1" s="1"/>
  <c r="F20" i="1" s="1"/>
  <c r="E4" i="1"/>
  <c r="E10" i="1" s="1"/>
  <c r="E12" i="1" s="1"/>
  <c r="E20" i="1" s="1"/>
  <c r="D4" i="1"/>
  <c r="D10" i="1" s="1"/>
  <c r="D12" i="1" s="1"/>
  <c r="D20" i="1" s="1"/>
  <c r="C4" i="1"/>
  <c r="C10" i="1" s="1"/>
  <c r="C12" i="1" s="1"/>
  <c r="C20" i="1" s="1"/>
  <c r="B4" i="1"/>
  <c r="B10" i="1" s="1"/>
  <c r="B12" i="1" s="1"/>
  <c r="B20" i="1" s="1"/>
  <c r="H1" i="1"/>
  <c r="G1" i="1"/>
  <c r="F1" i="1"/>
  <c r="E1" i="1"/>
  <c r="D1" i="1"/>
  <c r="C1" i="1" s="1"/>
  <c r="B1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B13" i="4" l="1"/>
  <c r="B49" i="4" s="1"/>
  <c r="B53" i="4" s="1"/>
  <c r="B14" i="4"/>
  <c r="H18" i="4"/>
  <c r="D14" i="4"/>
  <c r="D13" i="4"/>
  <c r="D49" i="4" s="1"/>
  <c r="D53" i="4" s="1"/>
  <c r="G18" i="4"/>
  <c r="C14" i="4"/>
  <c r="C18" i="4" s="1"/>
  <c r="C13" i="4"/>
  <c r="C49" i="4" s="1"/>
  <c r="C53" i="4" s="1"/>
  <c r="F14" i="4"/>
  <c r="F18" i="4" s="1"/>
  <c r="F13" i="4"/>
  <c r="F49" i="4" s="1"/>
  <c r="F53" i="4" s="1"/>
  <c r="G7" i="3"/>
  <c r="E36" i="3"/>
  <c r="D7" i="3"/>
  <c r="I7" i="3"/>
  <c r="J7" i="3" s="1"/>
  <c r="K7" i="3" s="1"/>
  <c r="L7" i="3" s="1"/>
  <c r="M7" i="3" s="1"/>
  <c r="N7" i="3" s="1"/>
  <c r="E37" i="3"/>
  <c r="B7" i="3"/>
  <c r="B5" i="4"/>
  <c r="G6" i="3"/>
  <c r="G36" i="3"/>
  <c r="G37" i="3"/>
  <c r="F36" i="3"/>
  <c r="F37" i="3"/>
  <c r="K41" i="3"/>
  <c r="J38" i="3"/>
  <c r="H36" i="3"/>
  <c r="J5" i="3"/>
  <c r="J5" i="4" s="1"/>
  <c r="K3" i="3"/>
  <c r="K3" i="4" s="1"/>
  <c r="J14" i="3"/>
  <c r="J15" i="3" s="1"/>
  <c r="J17" i="3"/>
  <c r="J18" i="3" s="1"/>
  <c r="J8" i="3"/>
  <c r="I37" i="3"/>
  <c r="J37" i="3" s="1"/>
  <c r="I36" i="3"/>
  <c r="E6" i="3"/>
  <c r="E7" i="3"/>
  <c r="H6" i="3"/>
  <c r="H7" i="3"/>
  <c r="K45" i="3"/>
  <c r="K46" i="3" s="1"/>
  <c r="K48" i="3"/>
  <c r="L49" i="3" s="1"/>
  <c r="L21" i="3"/>
  <c r="I6" i="3"/>
  <c r="C7" i="3"/>
  <c r="C6" i="3"/>
  <c r="D36" i="3"/>
  <c r="D37" i="3"/>
  <c r="B37" i="3"/>
  <c r="B36" i="3"/>
  <c r="C37" i="3"/>
  <c r="C36" i="3"/>
  <c r="F6" i="3"/>
  <c r="K49" i="3"/>
  <c r="J49" i="3"/>
  <c r="D177" i="1"/>
  <c r="D178" i="1" s="1"/>
  <c r="D179" i="1" s="1"/>
  <c r="H155" i="1"/>
  <c r="H65" i="1"/>
  <c r="H77" i="1" s="1"/>
  <c r="H101" i="1" s="1"/>
  <c r="H103" i="1" s="1"/>
  <c r="H20" i="1"/>
  <c r="I65" i="1"/>
  <c r="I77" i="1" s="1"/>
  <c r="I101" i="1" s="1"/>
  <c r="I20" i="1"/>
  <c r="I155" i="1"/>
  <c r="B155" i="1"/>
  <c r="G155" i="1"/>
  <c r="E178" i="1"/>
  <c r="E179" i="1" s="1"/>
  <c r="I61" i="1"/>
  <c r="C155" i="1"/>
  <c r="F178" i="1"/>
  <c r="F179" i="1" s="1"/>
  <c r="B61" i="1"/>
  <c r="H61" i="1"/>
  <c r="D155" i="1"/>
  <c r="C61" i="1"/>
  <c r="E155" i="1"/>
  <c r="H178" i="1"/>
  <c r="H179" i="1" s="1"/>
  <c r="D61" i="1"/>
  <c r="F155" i="1"/>
  <c r="E177" i="1"/>
  <c r="F177" i="1"/>
  <c r="G177" i="1"/>
  <c r="G178" i="1" s="1"/>
  <c r="G179" i="1" s="1"/>
  <c r="I178" i="1"/>
  <c r="I179" i="1" s="1"/>
  <c r="H177" i="1"/>
  <c r="B177" i="1"/>
  <c r="B178" i="1" s="1"/>
  <c r="B179" i="1" s="1"/>
  <c r="C177" i="1"/>
  <c r="C178" i="1" s="1"/>
  <c r="C179" i="1" s="1"/>
  <c r="D18" i="4" l="1"/>
  <c r="E18" i="4"/>
  <c r="J9" i="3"/>
  <c r="J6" i="4"/>
  <c r="L48" i="3"/>
  <c r="M49" i="3" s="1"/>
  <c r="M21" i="3"/>
  <c r="L45" i="3"/>
  <c r="L46" i="3" s="1"/>
  <c r="J11" i="3"/>
  <c r="J7" i="4" s="1"/>
  <c r="J11" i="4" s="1"/>
  <c r="J6" i="3"/>
  <c r="L41" i="3"/>
  <c r="K38" i="3"/>
  <c r="K37" i="3"/>
  <c r="J35" i="3"/>
  <c r="J40" i="3"/>
  <c r="J39" i="3"/>
  <c r="L3" i="3"/>
  <c r="L3" i="4" s="1"/>
  <c r="K14" i="3"/>
  <c r="K15" i="3" s="1"/>
  <c r="K5" i="3"/>
  <c r="K5" i="4" s="1"/>
  <c r="K17" i="3"/>
  <c r="K18" i="3" s="1"/>
  <c r="K8" i="3"/>
  <c r="I102" i="1"/>
  <c r="I103" i="1" s="1"/>
  <c r="I104" i="1" s="1"/>
  <c r="H104" i="1"/>
  <c r="J14" i="4" l="1"/>
  <c r="J13" i="4"/>
  <c r="J49" i="4" s="1"/>
  <c r="J53" i="4" s="1"/>
  <c r="K9" i="3"/>
  <c r="K6" i="4"/>
  <c r="K40" i="3"/>
  <c r="K39" i="3"/>
  <c r="M3" i="3"/>
  <c r="M3" i="4" s="1"/>
  <c r="L17" i="3"/>
  <c r="L18" i="3" s="1"/>
  <c r="L5" i="3"/>
  <c r="L5" i="4" s="1"/>
  <c r="L14" i="3"/>
  <c r="L15" i="3" s="1"/>
  <c r="L8" i="3"/>
  <c r="J42" i="3"/>
  <c r="J36" i="3"/>
  <c r="K11" i="3"/>
  <c r="K7" i="4" s="1"/>
  <c r="K11" i="4" s="1"/>
  <c r="K6" i="3"/>
  <c r="M41" i="3"/>
  <c r="L38" i="3"/>
  <c r="J12" i="3"/>
  <c r="J8" i="4" s="1"/>
  <c r="J13" i="3"/>
  <c r="J9" i="4" s="1"/>
  <c r="N21" i="3"/>
  <c r="M45" i="3"/>
  <c r="M46" i="3" s="1"/>
  <c r="M48" i="3"/>
  <c r="N49" i="3" s="1"/>
  <c r="L37" i="3"/>
  <c r="K35" i="3"/>
  <c r="K13" i="4" l="1"/>
  <c r="K49" i="4" s="1"/>
  <c r="K53" i="4" s="1"/>
  <c r="K14" i="4"/>
  <c r="K18" i="4" s="1"/>
  <c r="L9" i="3"/>
  <c r="L6" i="4"/>
  <c r="J43" i="3"/>
  <c r="J44" i="3"/>
  <c r="N45" i="3"/>
  <c r="N46" i="3" s="1"/>
  <c r="N48" i="3"/>
  <c r="K36" i="3"/>
  <c r="K42" i="3"/>
  <c r="M5" i="3"/>
  <c r="M5" i="4" s="1"/>
  <c r="M8" i="3"/>
  <c r="M17" i="3"/>
  <c r="M18" i="3" s="1"/>
  <c r="N3" i="3"/>
  <c r="N3" i="4" s="1"/>
  <c r="M14" i="3"/>
  <c r="M15" i="3" s="1"/>
  <c r="L40" i="3"/>
  <c r="L39" i="3"/>
  <c r="K13" i="3"/>
  <c r="K9" i="4" s="1"/>
  <c r="K12" i="3"/>
  <c r="K8" i="4" s="1"/>
  <c r="L11" i="3"/>
  <c r="L7" i="4" s="1"/>
  <c r="L11" i="4" s="1"/>
  <c r="L6" i="3"/>
  <c r="M37" i="3"/>
  <c r="L35" i="3"/>
  <c r="N41" i="3"/>
  <c r="N38" i="3" s="1"/>
  <c r="M38" i="3"/>
  <c r="L13" i="4" l="1"/>
  <c r="L49" i="4" s="1"/>
  <c r="L53" i="4" s="1"/>
  <c r="L14" i="4"/>
  <c r="L18" i="4" s="1"/>
  <c r="M9" i="3"/>
  <c r="M6" i="4"/>
  <c r="M6" i="3"/>
  <c r="M11" i="3"/>
  <c r="M7" i="4" s="1"/>
  <c r="M11" i="4" s="1"/>
  <c r="K43" i="3"/>
  <c r="K44" i="3"/>
  <c r="M40" i="3"/>
  <c r="M39" i="3"/>
  <c r="N39" i="3"/>
  <c r="N40" i="3"/>
  <c r="N37" i="3"/>
  <c r="N35" i="3" s="1"/>
  <c r="M35" i="3"/>
  <c r="N8" i="3"/>
  <c r="N17" i="3"/>
  <c r="N18" i="3" s="1"/>
  <c r="N5" i="3"/>
  <c r="N5" i="4" s="1"/>
  <c r="N14" i="3"/>
  <c r="N15" i="3" s="1"/>
  <c r="L36" i="3"/>
  <c r="L42" i="3"/>
  <c r="L13" i="3"/>
  <c r="L9" i="4" s="1"/>
  <c r="L12" i="3"/>
  <c r="L8" i="4" s="1"/>
  <c r="M13" i="4" l="1"/>
  <c r="M49" i="4" s="1"/>
  <c r="M53" i="4" s="1"/>
  <c r="M14" i="4"/>
  <c r="M18" i="4" s="1"/>
  <c r="N9" i="3"/>
  <c r="N6" i="4"/>
  <c r="L44" i="3"/>
  <c r="L43" i="3"/>
  <c r="N6" i="3"/>
  <c r="N11" i="3"/>
  <c r="N7" i="4" s="1"/>
  <c r="N11" i="4" s="1"/>
  <c r="M36" i="3"/>
  <c r="M42" i="3"/>
  <c r="M13" i="3"/>
  <c r="M9" i="4" s="1"/>
  <c r="M12" i="3"/>
  <c r="M8" i="4" s="1"/>
  <c r="N36" i="3"/>
  <c r="N42" i="3"/>
  <c r="N13" i="4" l="1"/>
  <c r="N49" i="4" s="1"/>
  <c r="N53" i="4" s="1"/>
  <c r="N14" i="4"/>
  <c r="N18" i="4" s="1"/>
  <c r="M44" i="3"/>
  <c r="M43" i="3"/>
  <c r="N44" i="3"/>
  <c r="N43" i="3"/>
  <c r="N13" i="3"/>
  <c r="N9" i="4" s="1"/>
  <c r="N12" i="3"/>
  <c r="N8" i="4" s="1"/>
  <c r="I11" i="4"/>
  <c r="I14" i="4" l="1"/>
  <c r="I13" i="4"/>
  <c r="I49" i="4" s="1"/>
  <c r="I53" i="4" s="1"/>
  <c r="I18" i="4" l="1"/>
  <c r="J1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77" authorId="0" shapeId="0" xr:uid="{AF4CB323-8C98-6843-A1CD-A9877A3071C4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<sst xmlns="http://schemas.openxmlformats.org/spreadsheetml/2006/main" count="376" uniqueCount="217">
  <si>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</si>
  <si>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</si>
  <si>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</si>
  <si>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</si>
  <si>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</si>
  <si>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</si>
  <si>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</si>
  <si>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</si>
  <si>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</si>
  <si>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</si>
  <si>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</si>
  <si>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</si>
  <si>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</si>
  <si>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</si>
  <si>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</si>
  <si>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</si>
  <si>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</si>
  <si>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</si>
  <si>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</si>
  <si>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</si>
  <si>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</si>
  <si>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</si>
  <si>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</si>
  <si>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</si>
  <si>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</si>
  <si>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</si>
  <si>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</si>
  <si>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</si>
  <si>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</si>
  <si>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</si>
  <si>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</si>
  <si>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</si>
  <si>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</si>
  <si>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</si>
  <si>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</si>
  <si>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</si>
  <si>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</si>
  <si>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</si>
  <si>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</si>
  <si>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</si>
  <si>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</si>
  <si>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</si>
  <si>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</si>
  <si>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</si>
  <si>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</si>
  <si>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</si>
  <si>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</si>
  <si>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</si>
  <si>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</si>
  <si>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</si>
  <si>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</si>
  <si>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</si>
  <si>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</si>
  <si>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</si>
  <si>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</si>
  <si>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</si>
  <si>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</si>
  <si>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</si>
  <si>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</si>
  <si>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</si>
  <si>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</si>
  <si>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</si>
  <si>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</si>
  <si>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</si>
  <si>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</si>
  <si>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</si>
  <si>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</si>
  <si>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</si>
  <si>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</si>
  <si>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</si>
  <si>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</si>
  <si>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</si>
  <si>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</si>
  <si>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</si>
  <si>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</si>
  <si>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</si>
  <si>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</si>
  <si>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</si>
  <si>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</si>
  <si>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</si>
  <si>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</si>
  <si>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</si>
  <si>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</si>
  <si>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</si>
  <si>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</si>
  <si>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</si>
  <si>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</si>
  <si>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</si>
  <si>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</si>
  <si>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</si>
  <si>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</si>
  <si>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</si>
  <si>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</si>
  <si>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</si>
  <si>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</si>
  <si>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</si>
  <si>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</si>
  <si>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</si>
  <si>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</si>
  <si>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</si>
  <si>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</si>
  <si>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</si>
  <si>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</si>
  <si>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</si>
  <si>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</si>
  <si>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</si>
  <si>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</si>
  <si>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</si>
  <si>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</si>
  <si>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</si>
  <si>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</si>
  <si>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</si>
  <si>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</si>
  <si>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</si>
  <si>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</si>
  <si>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</si>
  <si>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</si>
  <si>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</si>
  <si>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</si>
  <si>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</si>
  <si>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</si>
  <si>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</si>
  <si>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</si>
  <si>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</si>
  <si>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</si>
  <si>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</si>
  <si>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</si>
  <si>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</si>
  <si>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</si>
  <si>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</si>
  <si>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</si>
  <si>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</si>
  <si>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</si>
  <si>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</si>
  <si>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</si>
  <si>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</si>
  <si>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</si>
  <si>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</si>
  <si>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</si>
  <si>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</si>
  <si>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</si>
  <si>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</si>
  <si>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</si>
  <si>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</si>
  <si>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</si>
  <si>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</si>
  <si>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</si>
  <si>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</si>
  <si>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</si>
  <si>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</si>
  <si>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</si>
  <si>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</si>
  <si>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</si>
  <si>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</si>
  <si>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</si>
  <si>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</si>
  <si>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</si>
  <si>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</si>
  <si>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</si>
  <si>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</si>
  <si>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</si>
  <si>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</si>
  <si>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</si>
  <si>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</si>
  <si>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</si>
  <si>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</si>
  <si>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</si>
  <si>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</si>
  <si>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</si>
  <si>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</si>
  <si>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</si>
  <si>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</si>
  <si>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</si>
  <si>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</si>
  <si>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</si>
  <si>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</si>
  <si>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</si>
  <si>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</si>
  <si>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</si>
  <si>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</si>
  <si>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</si>
  <si>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</si>
  <si>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</si>
  <si>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</si>
  <si>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</si>
  <si>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</si>
  <si>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</si>
  <si>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</si>
  <si>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</si>
  <si>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</si>
  <si>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</si>
  <si>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</si>
  <si>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</si>
  <si>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</si>
  <si>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</si>
  <si>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</si>
  <si>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</si>
  <si>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</si>
  <si>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</si>
  <si>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</si>
  <si>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</si>
  <si>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</si>
  <si>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</si>
  <si>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(Inventories + Receivables - Payables)</t>
  </si>
  <si>
    <t>Short term + Long term debt - (Cash + short term investments) Linked from above</t>
  </si>
  <si>
    <t>Cash flow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</si>
  <si>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</si>
  <si>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</si>
  <si>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</si>
  <si>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Investments in reverse repurchase agreements</t>
  </si>
  <si>
    <t>Disposals of property, plant and equipment</t>
  </si>
  <si>
    <t>Long-term debt payments, including current portion</t>
  </si>
  <si>
    <t>Payments on capital lease obligations</t>
  </si>
  <si>
    <t>Excess tax benefits from share-based payment arrangments</t>
  </si>
  <si>
    <t>Tax payments for net share settlement of equity awards</t>
  </si>
  <si>
    <t>Emerging Markets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</si>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</sst>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5" fillId="8" borderId="0" xfId="2" applyNumberFormat="1" applyFont="1" applyFill="1"/>
    <xf numFmtId="43" fontId="0" fillId="0" borderId="0" xfId="1" applyFont="1"/>
    <xf numFmtId="165" fontId="0" fillId="0" borderId="0" xfId="0" applyNumberFormat="1"/>
    <xf numFmtId="43" fontId="5" fillId="0" borderId="0" xfId="1" applyFont="1" applyBorder="1"/>
    <xf numFmtId="2" fontId="0" fillId="0" borderId="0" xfId="0" applyNumberFormat="1"/>
    <xf numFmtId="1" fontId="0" fillId="0" borderId="0" xfId="0" applyNumberFormat="1"/>
    <xf numFmtId="165" fontId="0" fillId="0" borderId="0" xfId="1" applyNumberFormat="1" applyFont="1" applyAlignment="1">
      <alignment horizontal="center"/>
    </xf>
    <xf numFmtId="165" fontId="16" fillId="0" borderId="0" xfId="0" applyNumberFormat="1" applyFont="1"/>
    <xf numFmtId="166" fontId="11" fillId="0" borderId="0" xfId="2" applyNumberFormat="1" applyFont="1" applyAlignment="1">
      <alignment horizontal="center"/>
    </xf>
    <xf numFmtId="43" fontId="0" fillId="0" borderId="0" xfId="1" applyNumberFormat="1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SajniShah/Documents/Quill%20Capital%20Partners%20-%20Investment%20Analyst%20Program/Level%202%20-%20Financial%20Modelling/Task%2010%20-%20Linking%20Balance%20Sheet/Completed_1709895789_Task%2010%20-%20Linking%20Balance%20sheet.xlsx" TargetMode="External"/><Relationship Id="rId1" Type="http://schemas.openxmlformats.org/officeDocument/2006/relationships/externalLinkPath" Target="/Users/SajniShah/Documents/Quill%20Capital%20Partners%20-%20Investment%20Analyst%20Program/Level%202%20-%20Financial%20Modelling/Task%2010%20-%20Linking%20Balance%20Sheet/Completed_1709895789_Task%2010%20-%20Linking%20Balance%20sheet.xlsx" TargetMode="External"/></Relationships>
</file>

<file path=xl/externalLinks/_rels/externalLink2.xml.rels><?xml version="1.0" encoding="UTF-8" standalone="yes"?>
<Relationships xmlns="http://schemas.openxmlformats.org/package/2006/relationships"><Relationship Id="rId3" Type="http://schemas.openxmlformats.org/officeDocument/2006/relationships/externalLinkPath" Target="/Users/SajniShah/Documents/Quill%20Capital%20Partners%20-%20Investment%20Analyst%20Program/Level%202%20-%20Financial%20Modelling/Task%209%20-%20Building%20Operational%20Forecast%20Model/Completed_1710155371_Task%209%20-%20Building%20Operational%20Forecast%20Model.xlsx" TargetMode="External"/><Relationship Id="rId2" Type="http://schemas.microsoft.com/office/2019/04/relationships/externalLinkLongPath" Target="/Users/SajniShah/Documents/Quill%20Capital%20Partners%20-%20Investment%20Analyst%20Program/Level%202%20-%20Financial%20Modelling/Task%209%20-%20Building%20Operational%20Forecast%20Model/Completed_1710155371_Task%209%20-%20Building%20Operational%20Forecast%20Model.xlsx?12335228" TargetMode="External"/><Relationship Id="rId1" Type="http://schemas.openxmlformats.org/officeDocument/2006/relationships/externalLinkPath" Target="file:///12335228/Completed_1710155371_Task%209%20-%20Building%20Operational%20Forecast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/>
      <sheetData sheetId="1">
        <row r="114">
          <cell r="B114">
            <v>13740</v>
          </cell>
          <cell r="C114">
            <v>14764</v>
          </cell>
          <cell r="D114">
            <v>15216</v>
          </cell>
          <cell r="E114">
            <v>14855</v>
          </cell>
          <cell r="F114">
            <v>15902</v>
          </cell>
          <cell r="G114">
            <v>14484</v>
          </cell>
          <cell r="H114">
            <v>17179</v>
          </cell>
          <cell r="I114">
            <v>18353</v>
          </cell>
        </row>
        <row r="115">
          <cell r="B115">
            <v>8506</v>
          </cell>
          <cell r="C115">
            <v>9299</v>
          </cell>
          <cell r="D115">
            <v>9684</v>
          </cell>
          <cell r="E115">
            <v>9322</v>
          </cell>
          <cell r="F115">
            <v>10045</v>
          </cell>
          <cell r="G115">
            <v>9329</v>
          </cell>
          <cell r="H115">
            <v>11644</v>
          </cell>
          <cell r="I115">
            <v>12228</v>
          </cell>
        </row>
        <row r="116">
          <cell r="B116">
            <v>4410</v>
          </cell>
          <cell r="C116">
            <v>4746</v>
          </cell>
          <cell r="D116">
            <v>4866</v>
          </cell>
          <cell r="E116">
            <v>4938</v>
          </cell>
          <cell r="F116">
            <v>5260</v>
          </cell>
          <cell r="G116">
            <v>4639</v>
          </cell>
          <cell r="H116">
            <v>5028</v>
          </cell>
          <cell r="I116">
            <v>5492</v>
          </cell>
        </row>
        <row r="117">
          <cell r="B117">
            <v>824</v>
          </cell>
          <cell r="C117">
            <v>719</v>
          </cell>
          <cell r="D117">
            <v>646</v>
          </cell>
          <cell r="E117">
            <v>595</v>
          </cell>
          <cell r="F117">
            <v>597</v>
          </cell>
          <cell r="G117">
            <v>516</v>
          </cell>
          <cell r="H117">
            <v>507</v>
          </cell>
          <cell r="I117">
            <v>633</v>
          </cell>
        </row>
        <row r="142">
          <cell r="B142">
            <v>30601</v>
          </cell>
          <cell r="C142">
            <v>32376</v>
          </cell>
          <cell r="D142">
            <v>34350</v>
          </cell>
          <cell r="E142">
            <v>36397</v>
          </cell>
          <cell r="F142">
            <v>39117</v>
          </cell>
          <cell r="G142">
            <v>37403</v>
          </cell>
          <cell r="H142">
            <v>44538</v>
          </cell>
          <cell r="I142">
            <v>46710</v>
          </cell>
        </row>
        <row r="145">
          <cell r="B145">
            <v>3645</v>
          </cell>
          <cell r="C145">
            <v>3763</v>
          </cell>
          <cell r="D145">
            <v>3875</v>
          </cell>
          <cell r="E145">
            <v>3600</v>
          </cell>
          <cell r="F145">
            <v>3925</v>
          </cell>
          <cell r="G145">
            <v>2899</v>
          </cell>
          <cell r="H145">
            <v>5089</v>
          </cell>
          <cell r="I145">
            <v>5114</v>
          </cell>
        </row>
        <row r="154">
          <cell r="B154">
            <v>4233</v>
          </cell>
          <cell r="C154">
            <v>4642</v>
          </cell>
          <cell r="D154">
            <v>4945</v>
          </cell>
          <cell r="E154">
            <v>4379</v>
          </cell>
          <cell r="F154">
            <v>4850</v>
          </cell>
          <cell r="G154">
            <v>2976</v>
          </cell>
          <cell r="H154">
            <v>6923</v>
          </cell>
          <cell r="I154">
            <v>6856</v>
          </cell>
        </row>
        <row r="157">
          <cell r="B157">
            <v>632</v>
          </cell>
          <cell r="C157">
            <v>742</v>
          </cell>
          <cell r="D157">
            <v>819</v>
          </cell>
          <cell r="E157">
            <v>848</v>
          </cell>
          <cell r="F157">
            <v>814</v>
          </cell>
          <cell r="G157">
            <v>645</v>
          </cell>
          <cell r="H157">
            <v>617</v>
          </cell>
          <cell r="I157">
            <v>639</v>
          </cell>
        </row>
        <row r="166">
          <cell r="B166">
            <v>3011</v>
          </cell>
          <cell r="C166">
            <v>3520</v>
          </cell>
          <cell r="D166">
            <v>3989</v>
          </cell>
          <cell r="E166">
            <v>4454</v>
          </cell>
          <cell r="F166">
            <v>4744</v>
          </cell>
          <cell r="G166">
            <v>4866</v>
          </cell>
          <cell r="H166">
            <v>4904</v>
          </cell>
          <cell r="I166">
            <v>4791</v>
          </cell>
        </row>
        <row r="169">
          <cell r="B169">
            <v>208</v>
          </cell>
          <cell r="C169">
            <v>242</v>
          </cell>
          <cell r="D169">
            <v>223</v>
          </cell>
          <cell r="E169">
            <v>196</v>
          </cell>
          <cell r="F169">
            <v>117</v>
          </cell>
          <cell r="G169">
            <v>110</v>
          </cell>
          <cell r="H169">
            <v>98</v>
          </cell>
          <cell r="I169">
            <v>146</v>
          </cell>
        </row>
        <row r="178">
          <cell r="B178">
            <v>963</v>
          </cell>
          <cell r="C178">
            <v>1143</v>
          </cell>
          <cell r="D178">
            <v>1105</v>
          </cell>
          <cell r="E178">
            <v>1028</v>
          </cell>
          <cell r="F178">
            <v>1119</v>
          </cell>
          <cell r="G178">
            <v>1086</v>
          </cell>
          <cell r="H178">
            <v>695</v>
          </cell>
          <cell r="I178">
            <v>758</v>
          </cell>
        </row>
        <row r="181">
          <cell r="B181">
            <v>121</v>
          </cell>
          <cell r="C181">
            <v>133</v>
          </cell>
          <cell r="D181">
            <v>140</v>
          </cell>
          <cell r="E181">
            <v>160</v>
          </cell>
          <cell r="F181">
            <v>149</v>
          </cell>
          <cell r="G181">
            <v>148</v>
          </cell>
          <cell r="H181">
            <v>130</v>
          </cell>
          <cell r="I181">
            <v>124</v>
          </cell>
        </row>
        <row r="190">
          <cell r="B190">
            <v>606</v>
          </cell>
          <cell r="C190">
            <v>649</v>
          </cell>
          <cell r="D190">
            <v>706</v>
          </cell>
          <cell r="E190">
            <v>747</v>
          </cell>
          <cell r="F190">
            <v>705</v>
          </cell>
          <cell r="G190">
            <v>721</v>
          </cell>
          <cell r="H190">
            <v>744</v>
          </cell>
          <cell r="I190">
            <v>717</v>
          </cell>
        </row>
        <row r="195">
          <cell r="B195">
            <v>0.14000000000000001</v>
          </cell>
          <cell r="C195">
            <v>0.1</v>
          </cell>
          <cell r="D195">
            <v>0.04</v>
          </cell>
          <cell r="E195">
            <v>-0.04</v>
          </cell>
          <cell r="F195">
            <v>0.08</v>
          </cell>
          <cell r="G195">
            <v>-7.0000000000000007E-2</v>
          </cell>
          <cell r="H195">
            <v>0.25</v>
          </cell>
          <cell r="I195">
            <v>0.05</v>
          </cell>
        </row>
        <row r="196">
          <cell r="B196">
            <v>0.12</v>
          </cell>
          <cell r="C196">
            <v>0.08</v>
          </cell>
          <cell r="D196">
            <v>0.03</v>
          </cell>
          <cell r="E196">
            <v>0.01</v>
          </cell>
          <cell r="F196">
            <v>7.0000000000000007E-2</v>
          </cell>
          <cell r="G196">
            <v>-0.12</v>
          </cell>
          <cell r="H196">
            <v>0.08</v>
          </cell>
          <cell r="I196">
            <v>0.09</v>
          </cell>
        </row>
        <row r="197">
          <cell r="B197">
            <v>-0.05</v>
          </cell>
          <cell r="C197">
            <v>-0.13</v>
          </cell>
          <cell r="D197">
            <v>-0.1</v>
          </cell>
          <cell r="E197">
            <v>-0.08</v>
          </cell>
          <cell r="F197">
            <v>0</v>
          </cell>
          <cell r="G197">
            <v>-0.14000000000000001</v>
          </cell>
          <cell r="H197">
            <v>-0.02</v>
          </cell>
          <cell r="I197">
            <v>0.25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Sheet1"/>
      <sheetName val="Historicals"/>
      <sheetName val="Segmental forecast"/>
    </sheetNames>
    <sheetDataSet>
      <sheetData sheetId="0"/>
      <sheetData sheetId="1">
        <row r="114">
          <cell r="A114" t="str">
            <v>North America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tabSelected="1" zoomScale="120" zoomScaleNormal="120" workbookViewId="0">
      <selection activeCell="A22" sqref="A22"/>
    </sheetView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201</v>
      </c>
    </row>
    <row r="3" spans="1:1" ht="16" x14ac:dyDescent="0.2">
      <c r="A3" s="38" t="s">
        <v>199</v>
      </c>
    </row>
    <row r="4" spans="1:1" ht="16" x14ac:dyDescent="0.2">
      <c r="A4" s="19" t="s">
        <v>200</v>
      </c>
    </row>
    <row r="5" spans="1:1" x14ac:dyDescent="0.2">
      <c r="A5" s="38"/>
    </row>
    <row r="6" spans="1:1" x14ac:dyDescent="0.2">
      <c r="A6" s="38"/>
    </row>
    <row r="9" spans="1:1" x14ac:dyDescent="0.2">
      <c r="A9" s="20"/>
    </row>
    <row r="10" spans="1:1" x14ac:dyDescent="0.2">
      <c r="A10" s="20"/>
    </row>
    <row r="11" spans="1:1" x14ac:dyDescent="0.2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23"/>
  <sheetViews>
    <sheetView workbookViewId="0">
      <pane ySplit="1" topLeftCell="A87" activePane="bottomLeft" state="frozen"/>
      <selection pane="bottomLeft" activeCell="B104" sqref="B104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13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3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13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13" s="1" customFormat="1" x14ac:dyDescent="0.2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13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13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13" x14ac:dyDescent="0.2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13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13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13" x14ac:dyDescent="0.2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  <c r="M10" s="59"/>
    </row>
    <row r="11" spans="1:13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13" ht="16" thickBot="1" x14ac:dyDescent="0.2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13" ht="16" thickTop="1" x14ac:dyDescent="0.2">
      <c r="A13" s="1" t="s">
        <v>8</v>
      </c>
    </row>
    <row r="14" spans="1:13" x14ac:dyDescent="0.2">
      <c r="A14" s="2" t="s">
        <v>6</v>
      </c>
      <c r="B14" s="61">
        <v>3.8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13" x14ac:dyDescent="0.2">
      <c r="A15" s="2" t="s">
        <v>7</v>
      </c>
      <c r="B15" s="61">
        <v>3.7</v>
      </c>
      <c r="C15">
        <v>2.16</v>
      </c>
      <c r="D15">
        <v>2.5099999999999998</v>
      </c>
      <c r="E15">
        <v>1.17</v>
      </c>
      <c r="F15">
        <v>2.4900000000000002</v>
      </c>
      <c r="G15" s="61">
        <v>1.6</v>
      </c>
      <c r="H15">
        <v>3.56</v>
      </c>
      <c r="I15">
        <v>3.75</v>
      </c>
    </row>
    <row r="16" spans="1:13" x14ac:dyDescent="0.2">
      <c r="A16" s="1" t="s">
        <v>9</v>
      </c>
    </row>
    <row r="17" spans="1:9" x14ac:dyDescent="0.2">
      <c r="A17" s="2" t="s">
        <v>6</v>
      </c>
      <c r="B17" s="62">
        <v>861.7</v>
      </c>
      <c r="C17" s="62">
        <v>1709</v>
      </c>
      <c r="D17" s="62">
        <v>1672</v>
      </c>
      <c r="E17" s="62">
        <v>1639.1</v>
      </c>
      <c r="F17" s="62">
        <v>1579.7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 s="62">
        <v>884.4</v>
      </c>
      <c r="C18" s="62">
        <v>1754.5</v>
      </c>
      <c r="D18" s="62">
        <v>1708.9</v>
      </c>
      <c r="E18" s="62">
        <v>1676.9</v>
      </c>
      <c r="F18" s="62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5">+ROUND(((B12/B18)-B15),2)</f>
        <v>0</v>
      </c>
      <c r="C20" s="13">
        <f t="shared" si="5"/>
        <v>-0.02</v>
      </c>
      <c r="D20" s="13">
        <f t="shared" si="5"/>
        <v>-0.03</v>
      </c>
      <c r="E20" s="13">
        <f t="shared" si="5"/>
        <v>-0.02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11" t="s">
        <v>67</v>
      </c>
      <c r="B30" s="3">
        <v>389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</row>
    <row r="31" spans="1:9" x14ac:dyDescent="0.2">
      <c r="A31" s="4" t="s">
        <v>10</v>
      </c>
      <c r="B31" s="5">
        <f t="shared" ref="B31:H31" si="6">+SUM(B25:B30)</f>
        <v>15976</v>
      </c>
      <c r="C31" s="5">
        <f t="shared" si="6"/>
        <v>15025</v>
      </c>
      <c r="D31" s="5">
        <f t="shared" si="6"/>
        <v>16061</v>
      </c>
      <c r="E31" s="5">
        <f t="shared" si="6"/>
        <v>15134</v>
      </c>
      <c r="F31" s="5">
        <f t="shared" si="6"/>
        <v>16525</v>
      </c>
      <c r="G31" s="5">
        <f t="shared" si="6"/>
        <v>20556</v>
      </c>
      <c r="H31" s="5">
        <f t="shared" si="6"/>
        <v>26291</v>
      </c>
      <c r="I31" s="5">
        <f>+SUM(I25:I30)</f>
        <v>28213</v>
      </c>
    </row>
    <row r="32" spans="1:9" x14ac:dyDescent="0.2">
      <c r="A32" s="2" t="s">
        <v>37</v>
      </c>
      <c r="B32" s="3">
        <v>3011</v>
      </c>
      <c r="C32" s="3">
        <v>3520</v>
      </c>
      <c r="D32" s="3">
        <v>3989</v>
      </c>
      <c r="E32" s="3">
        <v>4454</v>
      </c>
      <c r="F32" s="3">
        <v>4744</v>
      </c>
      <c r="G32" s="3">
        <v>4866</v>
      </c>
      <c r="H32" s="3">
        <v>4904</v>
      </c>
      <c r="I32" s="3">
        <v>4791</v>
      </c>
    </row>
    <row r="33" spans="1:11" x14ac:dyDescent="0.2">
      <c r="A33" s="2" t="s">
        <v>38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3097</v>
      </c>
      <c r="H33" s="3">
        <v>3113</v>
      </c>
      <c r="I33" s="3">
        <v>2926</v>
      </c>
      <c r="K33" s="59"/>
    </row>
    <row r="34" spans="1:11" x14ac:dyDescent="0.2">
      <c r="A34" s="2" t="s">
        <v>39</v>
      </c>
      <c r="B34" s="3">
        <v>281</v>
      </c>
      <c r="C34" s="3">
        <v>281</v>
      </c>
      <c r="D34" s="3">
        <v>283</v>
      </c>
      <c r="E34" s="3">
        <v>285</v>
      </c>
      <c r="F34" s="3">
        <v>283</v>
      </c>
      <c r="G34" s="3">
        <v>274</v>
      </c>
      <c r="H34" s="3">
        <v>269</v>
      </c>
      <c r="I34" s="3">
        <v>286</v>
      </c>
    </row>
    <row r="35" spans="1:11" x14ac:dyDescent="0.2">
      <c r="A35" s="2" t="s">
        <v>40</v>
      </c>
      <c r="B35" s="3">
        <v>131</v>
      </c>
      <c r="C35" s="3">
        <v>131</v>
      </c>
      <c r="D35" s="3">
        <v>139</v>
      </c>
      <c r="E35" s="3">
        <v>154</v>
      </c>
      <c r="F35" s="3">
        <v>154</v>
      </c>
      <c r="G35" s="3">
        <v>223</v>
      </c>
      <c r="H35" s="3">
        <v>242</v>
      </c>
      <c r="I35" s="3">
        <v>284</v>
      </c>
    </row>
    <row r="36" spans="1:11" x14ac:dyDescent="0.2">
      <c r="A36" s="2" t="s">
        <v>41</v>
      </c>
      <c r="B36" s="3">
        <v>2201</v>
      </c>
      <c r="C36" s="3">
        <v>2439</v>
      </c>
      <c r="D36" s="3">
        <v>2787</v>
      </c>
      <c r="E36" s="3">
        <v>2509</v>
      </c>
      <c r="F36" s="3">
        <v>2011</v>
      </c>
      <c r="G36" s="3">
        <v>2326</v>
      </c>
      <c r="H36" s="3">
        <v>2921</v>
      </c>
      <c r="I36" s="3">
        <v>3821</v>
      </c>
    </row>
    <row r="37" spans="1:11" ht="16" thickBot="1" x14ac:dyDescent="0.25">
      <c r="A37" s="6" t="s">
        <v>42</v>
      </c>
      <c r="B37" s="7">
        <f t="shared" ref="B37:H37" si="7">+SUM(B31:B36)</f>
        <v>21600</v>
      </c>
      <c r="C37" s="7">
        <f t="shared" si="7"/>
        <v>21396</v>
      </c>
      <c r="D37" s="7">
        <f t="shared" si="7"/>
        <v>23259</v>
      </c>
      <c r="E37" s="7">
        <f t="shared" si="7"/>
        <v>22536</v>
      </c>
      <c r="F37" s="7">
        <f t="shared" si="7"/>
        <v>23717</v>
      </c>
      <c r="G37" s="7">
        <f t="shared" si="7"/>
        <v>31342</v>
      </c>
      <c r="H37" s="7">
        <f t="shared" si="7"/>
        <v>37740</v>
      </c>
      <c r="I37" s="7">
        <f>+SUM(I31:I36)</f>
        <v>40321</v>
      </c>
    </row>
    <row r="38" spans="1:11" ht="16" thickTop="1" x14ac:dyDescent="0.2">
      <c r="A38" s="1" t="s">
        <v>43</v>
      </c>
      <c r="B38" s="3"/>
      <c r="C38" s="3"/>
      <c r="D38" s="3"/>
      <c r="E38" s="3"/>
      <c r="F38" s="3"/>
      <c r="G38" s="3"/>
      <c r="H38" s="3"/>
      <c r="I38" s="3"/>
    </row>
    <row r="39" spans="1:11" x14ac:dyDescent="0.2">
      <c r="A39" s="2" t="s">
        <v>44</v>
      </c>
      <c r="B39" s="3"/>
      <c r="C39" s="3"/>
      <c r="D39" s="3"/>
      <c r="E39" s="3"/>
      <c r="F39" s="3"/>
      <c r="G39" s="3"/>
      <c r="H39" s="3"/>
      <c r="I39" s="3"/>
    </row>
    <row r="40" spans="1:11" x14ac:dyDescent="0.2">
      <c r="A40" s="11" t="s">
        <v>45</v>
      </c>
      <c r="B40" s="3">
        <v>107</v>
      </c>
      <c r="C40" s="3">
        <v>44</v>
      </c>
      <c r="D40" s="3">
        <v>6</v>
      </c>
      <c r="E40" s="3">
        <v>6</v>
      </c>
      <c r="F40" s="3">
        <v>6</v>
      </c>
      <c r="G40" s="3">
        <v>3</v>
      </c>
      <c r="H40" s="3">
        <v>0</v>
      </c>
      <c r="I40" s="3">
        <v>500</v>
      </c>
    </row>
    <row r="41" spans="1:11" x14ac:dyDescent="0.2">
      <c r="A41" s="11" t="s">
        <v>46</v>
      </c>
      <c r="B41" s="3">
        <v>74</v>
      </c>
      <c r="C41" s="3">
        <v>1</v>
      </c>
      <c r="D41" s="3">
        <v>325</v>
      </c>
      <c r="E41" s="3">
        <v>336</v>
      </c>
      <c r="F41" s="3">
        <v>9</v>
      </c>
      <c r="G41" s="3">
        <v>248</v>
      </c>
      <c r="H41" s="3">
        <v>2</v>
      </c>
      <c r="I41" s="3">
        <v>10</v>
      </c>
    </row>
    <row r="42" spans="1:11" x14ac:dyDescent="0.2">
      <c r="A42" s="11" t="s">
        <v>11</v>
      </c>
      <c r="B42" s="3">
        <v>2131</v>
      </c>
      <c r="C42" s="3">
        <v>2191</v>
      </c>
      <c r="D42" s="3">
        <v>2048</v>
      </c>
      <c r="E42" s="3">
        <v>2279</v>
      </c>
      <c r="F42" s="3">
        <v>2612</v>
      </c>
      <c r="G42" s="3">
        <v>2248</v>
      </c>
      <c r="H42" s="3">
        <v>2836</v>
      </c>
      <c r="I42" s="3">
        <v>3358</v>
      </c>
    </row>
    <row r="43" spans="1:11" x14ac:dyDescent="0.2">
      <c r="A43" s="11" t="s">
        <v>47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445</v>
      </c>
      <c r="H43" s="3">
        <v>467</v>
      </c>
      <c r="I43" s="3">
        <v>420</v>
      </c>
    </row>
    <row r="44" spans="1:11" x14ac:dyDescent="0.2">
      <c r="A44" s="11" t="s">
        <v>12</v>
      </c>
      <c r="B44" s="3">
        <v>3951</v>
      </c>
      <c r="C44" s="3">
        <v>3037</v>
      </c>
      <c r="D44" s="3">
        <v>3011</v>
      </c>
      <c r="E44" s="3">
        <v>3269</v>
      </c>
      <c r="F44" s="3">
        <v>5010</v>
      </c>
      <c r="G44" s="3">
        <v>5184</v>
      </c>
      <c r="H44" s="3">
        <v>6063</v>
      </c>
      <c r="I44" s="3">
        <v>6220</v>
      </c>
    </row>
    <row r="45" spans="1:11" x14ac:dyDescent="0.2">
      <c r="A45" s="11" t="s">
        <v>48</v>
      </c>
      <c r="B45" s="3">
        <v>71</v>
      </c>
      <c r="C45" s="3">
        <v>85</v>
      </c>
      <c r="D45" s="3">
        <v>84</v>
      </c>
      <c r="E45" s="3">
        <v>150</v>
      </c>
      <c r="F45" s="3">
        <v>229</v>
      </c>
      <c r="G45" s="3">
        <v>156</v>
      </c>
      <c r="H45" s="3">
        <v>306</v>
      </c>
      <c r="I45" s="3">
        <v>222</v>
      </c>
    </row>
    <row r="46" spans="1:11" x14ac:dyDescent="0.2">
      <c r="A46" s="4" t="s">
        <v>13</v>
      </c>
      <c r="B46" s="5">
        <f t="shared" ref="B46:H46" si="8">+SUM(B40:B45)</f>
        <v>6334</v>
      </c>
      <c r="C46" s="5">
        <f t="shared" si="8"/>
        <v>5358</v>
      </c>
      <c r="D46" s="5">
        <f t="shared" si="8"/>
        <v>5474</v>
      </c>
      <c r="E46" s="5">
        <f t="shared" si="8"/>
        <v>6040</v>
      </c>
      <c r="F46" s="5">
        <f t="shared" si="8"/>
        <v>7866</v>
      </c>
      <c r="G46" s="5">
        <f t="shared" si="8"/>
        <v>8284</v>
      </c>
      <c r="H46" s="5">
        <f t="shared" si="8"/>
        <v>9674</v>
      </c>
      <c r="I46" s="5">
        <f>+SUM(I40:I45)</f>
        <v>10730</v>
      </c>
    </row>
    <row r="47" spans="1:11" x14ac:dyDescent="0.2">
      <c r="A47" s="2" t="s">
        <v>49</v>
      </c>
      <c r="B47" s="3">
        <v>1079</v>
      </c>
      <c r="C47" s="3">
        <v>2010</v>
      </c>
      <c r="D47" s="3">
        <v>3471</v>
      </c>
      <c r="E47" s="3">
        <v>3468</v>
      </c>
      <c r="F47" s="3">
        <v>3464</v>
      </c>
      <c r="G47" s="3">
        <v>9406</v>
      </c>
      <c r="H47" s="3">
        <v>9413</v>
      </c>
      <c r="I47" s="3">
        <v>8920</v>
      </c>
    </row>
    <row r="48" spans="1:11" x14ac:dyDescent="0.2">
      <c r="A48" s="2" t="s">
        <v>50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2913</v>
      </c>
      <c r="H48" s="3">
        <v>2931</v>
      </c>
      <c r="I48" s="3">
        <v>2777</v>
      </c>
    </row>
    <row r="49" spans="1:9" x14ac:dyDescent="0.2">
      <c r="A49" s="2" t="s">
        <v>51</v>
      </c>
      <c r="B49" s="3">
        <v>1480</v>
      </c>
      <c r="C49" s="3">
        <v>1770</v>
      </c>
      <c r="D49" s="3">
        <v>1907</v>
      </c>
      <c r="E49" s="3">
        <v>3216</v>
      </c>
      <c r="F49" s="3">
        <v>3347</v>
      </c>
      <c r="G49" s="3">
        <v>2684</v>
      </c>
      <c r="H49" s="3">
        <v>2955</v>
      </c>
      <c r="I49" s="3">
        <v>2613</v>
      </c>
    </row>
    <row r="50" spans="1:9" x14ac:dyDescent="0.2">
      <c r="A50" s="2" t="s">
        <v>52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2">
      <c r="A51" s="11" t="s">
        <v>53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x14ac:dyDescent="0.2">
      <c r="A52" s="2" t="s">
        <v>54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1" t="s">
        <v>55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56</v>
      </c>
      <c r="B54" s="3"/>
      <c r="C54" s="3"/>
      <c r="D54" s="3"/>
      <c r="E54" s="3"/>
      <c r="F54" s="3"/>
      <c r="G54" s="3"/>
      <c r="H54" s="3"/>
      <c r="I54" s="3"/>
    </row>
    <row r="55" spans="1:9" x14ac:dyDescent="0.2">
      <c r="A55" s="17" t="s">
        <v>57</v>
      </c>
      <c r="B55" s="3">
        <v>3</v>
      </c>
      <c r="C55" s="3">
        <v>3</v>
      </c>
      <c r="D55" s="3">
        <v>3</v>
      </c>
      <c r="E55" s="3">
        <v>3</v>
      </c>
      <c r="F55" s="3">
        <v>3</v>
      </c>
      <c r="G55" s="3">
        <v>3</v>
      </c>
      <c r="H55" s="3">
        <v>3</v>
      </c>
      <c r="I55" s="3">
        <v>3</v>
      </c>
    </row>
    <row r="56" spans="1:9" x14ac:dyDescent="0.2">
      <c r="A56" s="17" t="s">
        <v>58</v>
      </c>
      <c r="B56" s="3">
        <v>6773</v>
      </c>
      <c r="C56" s="3">
        <v>7786</v>
      </c>
      <c r="D56" s="3">
        <v>5710</v>
      </c>
      <c r="E56" s="3">
        <v>6384</v>
      </c>
      <c r="F56" s="3">
        <v>7163</v>
      </c>
      <c r="G56" s="3">
        <v>8299</v>
      </c>
      <c r="H56" s="3">
        <v>9965</v>
      </c>
      <c r="I56" s="3">
        <v>11484</v>
      </c>
    </row>
    <row r="57" spans="1:9" x14ac:dyDescent="0.2">
      <c r="A57" s="17" t="s">
        <v>59</v>
      </c>
      <c r="B57" s="3">
        <v>1246</v>
      </c>
      <c r="C57" s="3">
        <v>318</v>
      </c>
      <c r="D57" s="3">
        <v>-213</v>
      </c>
      <c r="E57" s="3">
        <v>-92</v>
      </c>
      <c r="F57" s="3">
        <v>231</v>
      </c>
      <c r="G57" s="3">
        <v>-56</v>
      </c>
      <c r="H57" s="3">
        <v>-380</v>
      </c>
      <c r="I57" s="3">
        <v>318</v>
      </c>
    </row>
    <row r="58" spans="1:9" x14ac:dyDescent="0.2">
      <c r="A58" s="17" t="s">
        <v>60</v>
      </c>
      <c r="B58" s="3">
        <v>4685</v>
      </c>
      <c r="C58" s="3">
        <v>4151</v>
      </c>
      <c r="D58" s="3">
        <v>6907</v>
      </c>
      <c r="E58" s="3">
        <v>3517</v>
      </c>
      <c r="F58" s="3">
        <v>1643</v>
      </c>
      <c r="G58" s="3">
        <v>-191</v>
      </c>
      <c r="H58" s="3">
        <v>3179</v>
      </c>
      <c r="I58" s="3">
        <v>3476</v>
      </c>
    </row>
    <row r="59" spans="1:9" x14ac:dyDescent="0.2">
      <c r="A59" s="4" t="s">
        <v>61</v>
      </c>
      <c r="B59" s="5">
        <f t="shared" ref="B59:H59" si="9">+SUM(B54:B58)</f>
        <v>12707</v>
      </c>
      <c r="C59" s="5">
        <f t="shared" si="9"/>
        <v>12258</v>
      </c>
      <c r="D59" s="5">
        <f t="shared" si="9"/>
        <v>12407</v>
      </c>
      <c r="E59" s="5">
        <f t="shared" si="9"/>
        <v>9812</v>
      </c>
      <c r="F59" s="5">
        <f t="shared" si="9"/>
        <v>9040</v>
      </c>
      <c r="G59" s="5">
        <f t="shared" si="9"/>
        <v>8055</v>
      </c>
      <c r="H59" s="5">
        <f t="shared" si="9"/>
        <v>12767</v>
      </c>
      <c r="I59" s="5">
        <f>+SUM(I54:I58)</f>
        <v>15281</v>
      </c>
    </row>
    <row r="60" spans="1:9" ht="16" thickBot="1" x14ac:dyDescent="0.25">
      <c r="A60" s="6" t="s">
        <v>62</v>
      </c>
      <c r="B60" s="7">
        <f t="shared" ref="B60:H60" si="10">+SUM(B46:B51)+B59</f>
        <v>21600</v>
      </c>
      <c r="C60" s="7">
        <f t="shared" si="10"/>
        <v>21396</v>
      </c>
      <c r="D60" s="7">
        <f t="shared" si="10"/>
        <v>23259</v>
      </c>
      <c r="E60" s="7">
        <f t="shared" si="10"/>
        <v>22536</v>
      </c>
      <c r="F60" s="7">
        <f t="shared" si="10"/>
        <v>23717</v>
      </c>
      <c r="G60" s="7">
        <f t="shared" si="10"/>
        <v>31342</v>
      </c>
      <c r="H60" s="7">
        <f t="shared" si="10"/>
        <v>37740</v>
      </c>
      <c r="I60" s="7">
        <f>+SUM(I46:I51)+I59</f>
        <v>40321</v>
      </c>
    </row>
    <row r="61" spans="1:9" s="12" customFormat="1" ht="16" thickTop="1" x14ac:dyDescent="0.2">
      <c r="A61" s="12" t="s">
        <v>3</v>
      </c>
      <c r="B61" s="13">
        <f t="shared" ref="B61:H61" si="11">+B60-B37</f>
        <v>0</v>
      </c>
      <c r="C61" s="13">
        <f t="shared" si="11"/>
        <v>0</v>
      </c>
      <c r="D61" s="13">
        <f t="shared" si="11"/>
        <v>0</v>
      </c>
      <c r="E61" s="13">
        <f t="shared" si="11"/>
        <v>0</v>
      </c>
      <c r="F61" s="13">
        <f t="shared" si="11"/>
        <v>0</v>
      </c>
      <c r="G61" s="13">
        <f t="shared" si="11"/>
        <v>0</v>
      </c>
      <c r="H61" s="13">
        <f t="shared" si="11"/>
        <v>0</v>
      </c>
      <c r="I61" s="13">
        <f>+I60-I37</f>
        <v>0</v>
      </c>
    </row>
    <row r="62" spans="1:9" x14ac:dyDescent="0.2">
      <c r="A62" s="14" t="s">
        <v>1</v>
      </c>
      <c r="B62" s="14"/>
      <c r="C62" s="14"/>
      <c r="D62" s="14"/>
      <c r="E62" s="14"/>
      <c r="F62" s="14"/>
      <c r="G62" s="14"/>
      <c r="H62" s="14"/>
      <c r="I62" s="14"/>
    </row>
    <row r="63" spans="1:9" x14ac:dyDescent="0.2">
      <c r="A63" t="s">
        <v>15</v>
      </c>
    </row>
    <row r="64" spans="1:9" x14ac:dyDescent="0.2">
      <c r="A64" s="1" t="s">
        <v>63</v>
      </c>
    </row>
    <row r="65" spans="1:9" s="1" customFormat="1" x14ac:dyDescent="0.2">
      <c r="A65" s="10" t="s">
        <v>64</v>
      </c>
      <c r="B65" s="9">
        <v>3273</v>
      </c>
      <c r="C65" s="9">
        <v>3760</v>
      </c>
      <c r="D65" s="9">
        <v>4240</v>
      </c>
      <c r="E65" s="9">
        <v>1933</v>
      </c>
      <c r="F65" s="9">
        <v>4029</v>
      </c>
      <c r="G65" s="9">
        <v>2539</v>
      </c>
      <c r="H65" s="9">
        <f>+H12</f>
        <v>5727</v>
      </c>
      <c r="I65" s="9">
        <f>+I12</f>
        <v>6046</v>
      </c>
    </row>
    <row r="66" spans="1:9" s="1" customFormat="1" x14ac:dyDescent="0.2">
      <c r="A66" s="2" t="s">
        <v>65</v>
      </c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11" t="s">
        <v>66</v>
      </c>
      <c r="B67" s="3">
        <v>606</v>
      </c>
      <c r="C67" s="3">
        <v>649</v>
      </c>
      <c r="D67" s="3">
        <v>706</v>
      </c>
      <c r="E67" s="3">
        <v>747</v>
      </c>
      <c r="F67" s="3">
        <v>705</v>
      </c>
      <c r="G67" s="3">
        <v>721</v>
      </c>
      <c r="H67" s="3">
        <v>744</v>
      </c>
      <c r="I67" s="3">
        <v>717</v>
      </c>
    </row>
    <row r="68" spans="1:9" x14ac:dyDescent="0.2">
      <c r="A68" s="11" t="s">
        <v>67</v>
      </c>
      <c r="B68" s="3">
        <v>-113</v>
      </c>
      <c r="C68" s="3">
        <v>-80</v>
      </c>
      <c r="D68" s="3">
        <v>-273</v>
      </c>
      <c r="E68" s="3">
        <v>647</v>
      </c>
      <c r="F68" s="3">
        <v>34</v>
      </c>
      <c r="G68" s="3">
        <v>-380</v>
      </c>
      <c r="H68" s="3">
        <v>-385</v>
      </c>
      <c r="I68" s="3">
        <v>-650</v>
      </c>
    </row>
    <row r="69" spans="1:9" x14ac:dyDescent="0.2">
      <c r="A69" s="11" t="s">
        <v>68</v>
      </c>
      <c r="B69" s="3">
        <v>191</v>
      </c>
      <c r="C69" s="3">
        <v>236</v>
      </c>
      <c r="D69" s="3">
        <v>215</v>
      </c>
      <c r="E69" s="3">
        <v>218</v>
      </c>
      <c r="F69" s="3">
        <v>325</v>
      </c>
      <c r="G69" s="3">
        <v>429</v>
      </c>
      <c r="H69" s="3">
        <v>611</v>
      </c>
      <c r="I69" s="3">
        <v>638</v>
      </c>
    </row>
    <row r="70" spans="1:9" x14ac:dyDescent="0.2">
      <c r="A70" s="11" t="s">
        <v>69</v>
      </c>
      <c r="B70" s="3">
        <v>43</v>
      </c>
      <c r="C70" s="3">
        <v>13</v>
      </c>
      <c r="D70" s="3">
        <v>10</v>
      </c>
      <c r="E70" s="3">
        <v>27</v>
      </c>
      <c r="F70" s="3">
        <v>15</v>
      </c>
      <c r="G70" s="3">
        <v>398</v>
      </c>
      <c r="H70" s="3">
        <v>53</v>
      </c>
      <c r="I70" s="3">
        <v>123</v>
      </c>
    </row>
    <row r="71" spans="1:9" x14ac:dyDescent="0.2">
      <c r="A71" s="11" t="s">
        <v>70</v>
      </c>
      <c r="B71" s="3">
        <v>424</v>
      </c>
      <c r="C71" s="3">
        <v>98</v>
      </c>
      <c r="D71" s="3">
        <v>-117</v>
      </c>
      <c r="E71" s="3">
        <v>-99</v>
      </c>
      <c r="F71" s="3">
        <v>233</v>
      </c>
      <c r="G71" s="3">
        <v>23</v>
      </c>
      <c r="H71" s="3">
        <v>-138</v>
      </c>
      <c r="I71" s="3">
        <v>-26</v>
      </c>
    </row>
    <row r="72" spans="1:9" x14ac:dyDescent="0.2">
      <c r="A72" s="2" t="s">
        <v>71</v>
      </c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11" t="s">
        <v>72</v>
      </c>
      <c r="B73" s="3">
        <v>-216</v>
      </c>
      <c r="C73" s="3">
        <v>60</v>
      </c>
      <c r="D73" s="3">
        <v>-426</v>
      </c>
      <c r="E73" s="3">
        <v>187</v>
      </c>
      <c r="F73" s="3">
        <v>-270</v>
      </c>
      <c r="G73" s="3">
        <v>1239</v>
      </c>
      <c r="H73" s="3">
        <v>-1606</v>
      </c>
      <c r="I73" s="3">
        <v>-504</v>
      </c>
    </row>
    <row r="74" spans="1:9" x14ac:dyDescent="0.2">
      <c r="A74" s="11" t="s">
        <v>73</v>
      </c>
      <c r="B74" s="3">
        <v>-621</v>
      </c>
      <c r="C74" s="3">
        <v>-590</v>
      </c>
      <c r="D74" s="3">
        <v>-231</v>
      </c>
      <c r="E74" s="3">
        <v>-255</v>
      </c>
      <c r="F74" s="3">
        <v>-490</v>
      </c>
      <c r="G74" s="3">
        <v>-1854</v>
      </c>
      <c r="H74" s="3">
        <v>507</v>
      </c>
      <c r="I74" s="3">
        <v>-1676</v>
      </c>
    </row>
    <row r="75" spans="1:9" x14ac:dyDescent="0.2">
      <c r="A75" s="11" t="s">
        <v>98</v>
      </c>
      <c r="B75" s="3">
        <v>-144</v>
      </c>
      <c r="C75" s="3">
        <v>-161</v>
      </c>
      <c r="D75" s="3">
        <v>-120</v>
      </c>
      <c r="E75" s="3">
        <v>35</v>
      </c>
      <c r="F75" s="3">
        <v>-203</v>
      </c>
      <c r="G75" s="3">
        <v>-654</v>
      </c>
      <c r="H75" s="3">
        <v>-182</v>
      </c>
      <c r="I75" s="3">
        <v>-845</v>
      </c>
    </row>
    <row r="76" spans="1:9" x14ac:dyDescent="0.2">
      <c r="A76" s="11" t="s">
        <v>97</v>
      </c>
      <c r="B76" s="3">
        <v>1237</v>
      </c>
      <c r="C76" s="3">
        <v>-889</v>
      </c>
      <c r="D76" s="3">
        <v>-364</v>
      </c>
      <c r="E76" s="3">
        <v>1515</v>
      </c>
      <c r="F76" s="3">
        <v>1525</v>
      </c>
      <c r="G76" s="3">
        <v>24</v>
      </c>
      <c r="H76" s="3">
        <v>1326</v>
      </c>
      <c r="I76" s="3">
        <v>1365</v>
      </c>
    </row>
    <row r="77" spans="1:9" x14ac:dyDescent="0.2">
      <c r="A77" s="25" t="s">
        <v>74</v>
      </c>
      <c r="B77" s="26">
        <f t="shared" ref="B77:H77" si="12">+SUM(B65:B76)</f>
        <v>4680</v>
      </c>
      <c r="C77" s="26">
        <f t="shared" si="12"/>
        <v>3096</v>
      </c>
      <c r="D77" s="26">
        <f t="shared" si="12"/>
        <v>3640</v>
      </c>
      <c r="E77" s="26">
        <f t="shared" si="12"/>
        <v>4955</v>
      </c>
      <c r="F77" s="26">
        <f t="shared" si="12"/>
        <v>5903</v>
      </c>
      <c r="G77" s="26">
        <f t="shared" si="12"/>
        <v>2485</v>
      </c>
      <c r="H77" s="26">
        <f t="shared" si="12"/>
        <v>6657</v>
      </c>
      <c r="I77" s="26">
        <f>+SUM(I65:I76)</f>
        <v>5188</v>
      </c>
    </row>
    <row r="78" spans="1:9" x14ac:dyDescent="0.2">
      <c r="A78" s="1" t="s">
        <v>75</v>
      </c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2" t="s">
        <v>76</v>
      </c>
      <c r="B79" s="3">
        <v>-4936</v>
      </c>
      <c r="C79" s="3">
        <v>-5367</v>
      </c>
      <c r="D79" s="3">
        <v>-5928</v>
      </c>
      <c r="E79" s="3">
        <v>-4783</v>
      </c>
      <c r="F79" s="3">
        <v>-2937</v>
      </c>
      <c r="G79" s="3">
        <v>-2426</v>
      </c>
      <c r="H79" s="3">
        <v>-9961</v>
      </c>
      <c r="I79" s="3">
        <v>-12913</v>
      </c>
    </row>
    <row r="80" spans="1:9" x14ac:dyDescent="0.2">
      <c r="A80" s="2" t="s">
        <v>77</v>
      </c>
      <c r="B80" s="3">
        <v>3655</v>
      </c>
      <c r="C80" s="3">
        <v>2924</v>
      </c>
      <c r="D80" s="3">
        <v>3623</v>
      </c>
      <c r="E80" s="3">
        <v>3613</v>
      </c>
      <c r="F80" s="3">
        <v>1715</v>
      </c>
      <c r="G80" s="3">
        <v>74</v>
      </c>
      <c r="H80" s="3">
        <v>4236</v>
      </c>
      <c r="I80" s="3">
        <v>8199</v>
      </c>
    </row>
    <row r="81" spans="1:9" x14ac:dyDescent="0.2">
      <c r="A81" s="2" t="s">
        <v>78</v>
      </c>
      <c r="B81" s="3">
        <v>2216</v>
      </c>
      <c r="C81" s="3">
        <v>2386</v>
      </c>
      <c r="D81" s="3">
        <v>2423</v>
      </c>
      <c r="E81" s="3">
        <v>2496</v>
      </c>
      <c r="F81" s="3">
        <v>2072</v>
      </c>
      <c r="G81" s="3">
        <v>2379</v>
      </c>
      <c r="H81" s="3">
        <v>2449</v>
      </c>
      <c r="I81" s="3">
        <v>3967</v>
      </c>
    </row>
    <row r="82" spans="1:9" x14ac:dyDescent="0.2">
      <c r="A82" s="2" t="s">
        <v>209</v>
      </c>
      <c r="B82" s="3">
        <v>-150</v>
      </c>
      <c r="C82" s="3">
        <v>150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</row>
    <row r="83" spans="1:9" x14ac:dyDescent="0.2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2">
      <c r="A84" s="2" t="s">
        <v>210</v>
      </c>
      <c r="B84" s="3">
        <v>0</v>
      </c>
      <c r="C84" s="3">
        <v>10</v>
      </c>
      <c r="D84" s="3">
        <v>13</v>
      </c>
      <c r="E84" s="3">
        <v>3</v>
      </c>
      <c r="F84" s="3">
        <v>0</v>
      </c>
      <c r="G84" s="3">
        <v>0</v>
      </c>
      <c r="H84" s="3">
        <v>0</v>
      </c>
      <c r="I84" s="3">
        <v>0</v>
      </c>
    </row>
    <row r="85" spans="1:9" x14ac:dyDescent="0.2">
      <c r="A85" s="2" t="s">
        <v>79</v>
      </c>
      <c r="B85" s="3">
        <v>3</v>
      </c>
      <c r="C85" s="3">
        <v>6</v>
      </c>
      <c r="D85" s="3">
        <v>-34</v>
      </c>
      <c r="E85" s="3">
        <v>-25</v>
      </c>
      <c r="F85" s="3">
        <v>5</v>
      </c>
      <c r="G85" s="3">
        <v>31</v>
      </c>
      <c r="H85" s="3">
        <v>171</v>
      </c>
      <c r="I85" s="3">
        <v>-19</v>
      </c>
    </row>
    <row r="86" spans="1:9" x14ac:dyDescent="0.2">
      <c r="A86" s="27" t="s">
        <v>80</v>
      </c>
      <c r="B86" s="26">
        <f t="shared" ref="B86:I86" si="13">+SUM(B79:B85)</f>
        <v>-175</v>
      </c>
      <c r="C86" s="26">
        <f t="shared" si="13"/>
        <v>-1034</v>
      </c>
      <c r="D86" s="26">
        <f t="shared" si="13"/>
        <v>-1008</v>
      </c>
      <c r="E86" s="26">
        <f t="shared" si="13"/>
        <v>276</v>
      </c>
      <c r="F86" s="26">
        <f t="shared" si="13"/>
        <v>-264</v>
      </c>
      <c r="G86" s="26">
        <f t="shared" si="13"/>
        <v>-1028</v>
      </c>
      <c r="H86" s="26">
        <f t="shared" si="13"/>
        <v>-3800</v>
      </c>
      <c r="I86" s="26">
        <f t="shared" si="13"/>
        <v>-1524</v>
      </c>
    </row>
    <row r="87" spans="1:9" x14ac:dyDescent="0.2">
      <c r="A87" s="1" t="s">
        <v>81</v>
      </c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2" t="s">
        <v>82</v>
      </c>
      <c r="B88" s="3">
        <v>0</v>
      </c>
      <c r="C88" s="3">
        <v>981</v>
      </c>
      <c r="D88" s="3">
        <v>1482</v>
      </c>
      <c r="E88" s="3">
        <v>0</v>
      </c>
      <c r="F88" s="3">
        <v>0</v>
      </c>
      <c r="G88" s="3">
        <v>6134</v>
      </c>
      <c r="H88" s="3">
        <v>0</v>
      </c>
      <c r="I88" s="3">
        <v>0</v>
      </c>
    </row>
    <row r="89" spans="1:9" x14ac:dyDescent="0.2">
      <c r="A89" s="2" t="s">
        <v>211</v>
      </c>
      <c r="B89" s="3">
        <v>-7</v>
      </c>
      <c r="C89" s="3">
        <v>-106</v>
      </c>
      <c r="D89" s="3">
        <v>-44</v>
      </c>
      <c r="E89" s="3">
        <v>-6</v>
      </c>
      <c r="F89" s="3">
        <v>0</v>
      </c>
      <c r="G89" s="3">
        <v>0</v>
      </c>
      <c r="H89" s="3">
        <v>0</v>
      </c>
      <c r="I89" s="3">
        <v>0</v>
      </c>
    </row>
    <row r="90" spans="1:9" x14ac:dyDescent="0.2">
      <c r="A90" s="2" t="s">
        <v>83</v>
      </c>
      <c r="B90" s="3">
        <v>-63</v>
      </c>
      <c r="C90" s="3">
        <v>-67</v>
      </c>
      <c r="D90" s="3">
        <v>327</v>
      </c>
      <c r="E90" s="3">
        <v>13</v>
      </c>
      <c r="F90" s="3">
        <v>-325</v>
      </c>
      <c r="G90" s="3">
        <v>49</v>
      </c>
      <c r="H90" s="3">
        <v>-52</v>
      </c>
      <c r="I90" s="3">
        <v>15</v>
      </c>
    </row>
    <row r="91" spans="1:9" x14ac:dyDescent="0.2">
      <c r="A91" s="2" t="s">
        <v>212</v>
      </c>
      <c r="B91" s="3">
        <v>-19</v>
      </c>
      <c r="C91" s="3">
        <v>-7</v>
      </c>
      <c r="D91" s="3">
        <v>-17</v>
      </c>
      <c r="E91" s="3">
        <v>-23</v>
      </c>
      <c r="F91" s="3">
        <v>0</v>
      </c>
      <c r="G91" s="3">
        <v>0</v>
      </c>
      <c r="H91" s="3">
        <v>0</v>
      </c>
      <c r="I91" s="3">
        <v>0</v>
      </c>
    </row>
    <row r="92" spans="1:9" x14ac:dyDescent="0.2">
      <c r="A92" s="2" t="s">
        <v>84</v>
      </c>
      <c r="B92" s="3">
        <v>0</v>
      </c>
      <c r="C92" s="3">
        <v>0</v>
      </c>
      <c r="D92" s="3">
        <v>0</v>
      </c>
      <c r="E92" s="3">
        <v>0</v>
      </c>
      <c r="F92" s="3">
        <v>-6</v>
      </c>
      <c r="G92" s="3">
        <v>-6</v>
      </c>
      <c r="H92" s="3">
        <v>-197</v>
      </c>
      <c r="I92" s="3">
        <v>0</v>
      </c>
    </row>
    <row r="93" spans="1:9" x14ac:dyDescent="0.2">
      <c r="A93" s="2" t="s">
        <v>85</v>
      </c>
      <c r="B93" s="3">
        <v>514</v>
      </c>
      <c r="C93" s="3">
        <v>507</v>
      </c>
      <c r="D93" s="3">
        <v>489</v>
      </c>
      <c r="E93" s="3">
        <v>733</v>
      </c>
      <c r="F93" s="3">
        <v>700</v>
      </c>
      <c r="G93" s="3">
        <v>885</v>
      </c>
      <c r="H93" s="3">
        <v>1172</v>
      </c>
      <c r="I93" s="3">
        <v>1151</v>
      </c>
    </row>
    <row r="94" spans="1:9" x14ac:dyDescent="0.2">
      <c r="A94" s="2" t="s">
        <v>213</v>
      </c>
      <c r="B94" s="3">
        <v>218</v>
      </c>
      <c r="C94" s="3">
        <v>281</v>
      </c>
      <c r="D94" s="3">
        <v>177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</row>
    <row r="95" spans="1:9" x14ac:dyDescent="0.2">
      <c r="A95" s="2" t="s">
        <v>16</v>
      </c>
      <c r="B95" s="3">
        <v>-2534</v>
      </c>
      <c r="C95" s="3">
        <v>-3238</v>
      </c>
      <c r="D95" s="3">
        <v>-3223</v>
      </c>
      <c r="E95" s="3">
        <v>-4254</v>
      </c>
      <c r="F95" s="3">
        <v>-4286</v>
      </c>
      <c r="G95" s="3">
        <v>-3067</v>
      </c>
      <c r="H95" s="3">
        <v>-608</v>
      </c>
      <c r="I95" s="3">
        <v>-4014</v>
      </c>
    </row>
    <row r="96" spans="1:9" x14ac:dyDescent="0.2">
      <c r="A96" s="2" t="s">
        <v>86</v>
      </c>
      <c r="B96" s="3">
        <v>-899</v>
      </c>
      <c r="C96" s="3">
        <v>-1022</v>
      </c>
      <c r="D96" s="3">
        <v>-1133</v>
      </c>
      <c r="E96" s="3">
        <v>-1243</v>
      </c>
      <c r="F96" s="3">
        <v>-1332</v>
      </c>
      <c r="G96" s="3">
        <v>-1452</v>
      </c>
      <c r="H96" s="3">
        <v>-1638</v>
      </c>
      <c r="I96" s="3">
        <v>-1837</v>
      </c>
    </row>
    <row r="97" spans="1:9" x14ac:dyDescent="0.2">
      <c r="A97" s="2" t="s">
        <v>87</v>
      </c>
      <c r="B97" s="3">
        <v>0</v>
      </c>
      <c r="C97" s="3">
        <v>0</v>
      </c>
      <c r="D97" s="3">
        <v>0</v>
      </c>
      <c r="E97" s="3">
        <v>0</v>
      </c>
      <c r="F97" s="3">
        <v>-44</v>
      </c>
      <c r="G97" s="3">
        <v>-52</v>
      </c>
      <c r="H97" s="3">
        <v>-136</v>
      </c>
      <c r="I97" s="3">
        <v>-151</v>
      </c>
    </row>
    <row r="98" spans="1:9" x14ac:dyDescent="0.2">
      <c r="A98" s="2" t="s">
        <v>214</v>
      </c>
      <c r="B98" s="3">
        <v>0</v>
      </c>
      <c r="C98" s="3">
        <v>0</v>
      </c>
      <c r="D98" s="3">
        <v>0</v>
      </c>
      <c r="E98" s="3">
        <v>-55</v>
      </c>
      <c r="F98" s="3">
        <v>0</v>
      </c>
      <c r="G98" s="3">
        <v>0</v>
      </c>
      <c r="H98" s="3">
        <v>0</v>
      </c>
      <c r="I98" s="3">
        <v>0</v>
      </c>
    </row>
    <row r="99" spans="1:9" x14ac:dyDescent="0.2">
      <c r="A99" s="27" t="s">
        <v>88</v>
      </c>
      <c r="B99" s="26">
        <f t="shared" ref="B99:H99" si="14">+SUM(B88:B98)</f>
        <v>-2790</v>
      </c>
      <c r="C99" s="26">
        <f t="shared" si="14"/>
        <v>-2671</v>
      </c>
      <c r="D99" s="26">
        <f t="shared" si="14"/>
        <v>-1942</v>
      </c>
      <c r="E99" s="26">
        <f t="shared" si="14"/>
        <v>-4835</v>
      </c>
      <c r="F99" s="26">
        <f t="shared" si="14"/>
        <v>-5293</v>
      </c>
      <c r="G99" s="26">
        <f t="shared" si="14"/>
        <v>2491</v>
      </c>
      <c r="H99" s="26">
        <f t="shared" si="14"/>
        <v>-1459</v>
      </c>
      <c r="I99" s="26">
        <f>+SUM(I88:I98)</f>
        <v>-4836</v>
      </c>
    </row>
    <row r="100" spans="1:9" x14ac:dyDescent="0.2">
      <c r="A100" s="2" t="s">
        <v>89</v>
      </c>
      <c r="B100" s="3">
        <v>-83</v>
      </c>
      <c r="C100" s="3">
        <v>-105</v>
      </c>
      <c r="D100" s="3">
        <v>-20</v>
      </c>
      <c r="E100" s="3">
        <v>45</v>
      </c>
      <c r="F100" s="3">
        <v>-129</v>
      </c>
      <c r="G100" s="3">
        <v>-66</v>
      </c>
      <c r="H100" s="3">
        <v>143</v>
      </c>
      <c r="I100" s="3">
        <v>-143</v>
      </c>
    </row>
    <row r="101" spans="1:9" x14ac:dyDescent="0.2">
      <c r="A101" s="27" t="s">
        <v>90</v>
      </c>
      <c r="B101" s="26">
        <f t="shared" ref="B101:I101" si="15">+B77+B86+B99+B100</f>
        <v>1632</v>
      </c>
      <c r="C101" s="26">
        <f t="shared" si="15"/>
        <v>-714</v>
      </c>
      <c r="D101" s="26">
        <f t="shared" si="15"/>
        <v>670</v>
      </c>
      <c r="E101" s="26">
        <f t="shared" si="15"/>
        <v>441</v>
      </c>
      <c r="F101" s="26">
        <f t="shared" si="15"/>
        <v>217</v>
      </c>
      <c r="G101" s="26">
        <f t="shared" si="15"/>
        <v>3882</v>
      </c>
      <c r="H101" s="26">
        <f t="shared" si="15"/>
        <v>1541</v>
      </c>
      <c r="I101" s="26">
        <f t="shared" si="15"/>
        <v>-1315</v>
      </c>
    </row>
    <row r="102" spans="1:9" x14ac:dyDescent="0.2">
      <c r="A102" t="s">
        <v>91</v>
      </c>
      <c r="B102" s="3">
        <v>2220</v>
      </c>
      <c r="C102" s="3">
        <v>3852</v>
      </c>
      <c r="D102" s="3">
        <v>3138</v>
      </c>
      <c r="E102" s="3">
        <v>3808</v>
      </c>
      <c r="F102" s="3">
        <v>4249</v>
      </c>
      <c r="G102" s="3">
        <v>4466</v>
      </c>
      <c r="H102" s="3">
        <v>8348</v>
      </c>
      <c r="I102" s="3">
        <f>+H103</f>
        <v>9889</v>
      </c>
    </row>
    <row r="103" spans="1:9" ht="16" thickBot="1" x14ac:dyDescent="0.25">
      <c r="A103" s="6" t="s">
        <v>92</v>
      </c>
      <c r="B103" s="7">
        <v>3852</v>
      </c>
      <c r="C103" s="7">
        <v>3138</v>
      </c>
      <c r="D103" s="7">
        <v>3808</v>
      </c>
      <c r="E103" s="7">
        <v>4249</v>
      </c>
      <c r="F103" s="7">
        <v>4466</v>
      </c>
      <c r="G103" s="7">
        <v>8348</v>
      </c>
      <c r="H103" s="7">
        <f>+H101+H102</f>
        <v>9889</v>
      </c>
      <c r="I103" s="7">
        <f>+I101+I102</f>
        <v>8574</v>
      </c>
    </row>
    <row r="104" spans="1:9" s="12" customFormat="1" ht="16" thickTop="1" x14ac:dyDescent="0.2">
      <c r="A104" s="12" t="s">
        <v>19</v>
      </c>
      <c r="B104" s="13">
        <f t="shared" ref="B104:I104" si="16">+B103-B25</f>
        <v>0</v>
      </c>
      <c r="C104" s="13">
        <f t="shared" si="16"/>
        <v>0</v>
      </c>
      <c r="D104" s="13">
        <f t="shared" si="16"/>
        <v>0</v>
      </c>
      <c r="E104" s="13">
        <f t="shared" si="16"/>
        <v>0</v>
      </c>
      <c r="F104" s="13">
        <f t="shared" si="16"/>
        <v>0</v>
      </c>
      <c r="G104" s="13">
        <f t="shared" si="16"/>
        <v>0</v>
      </c>
      <c r="H104" s="13">
        <f t="shared" si="16"/>
        <v>0</v>
      </c>
      <c r="I104" s="13">
        <f t="shared" si="16"/>
        <v>0</v>
      </c>
    </row>
    <row r="105" spans="1:9" x14ac:dyDescent="0.2">
      <c r="A105" t="s">
        <v>93</v>
      </c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2" t="s">
        <v>17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11" t="s">
        <v>94</v>
      </c>
      <c r="B107" s="3">
        <v>53</v>
      </c>
      <c r="C107" s="3">
        <v>70</v>
      </c>
      <c r="D107" s="3">
        <v>98</v>
      </c>
      <c r="E107" s="3">
        <v>125</v>
      </c>
      <c r="F107" s="3">
        <v>153</v>
      </c>
      <c r="G107" s="3">
        <v>140</v>
      </c>
      <c r="H107" s="3">
        <v>293</v>
      </c>
      <c r="I107" s="3">
        <v>290</v>
      </c>
    </row>
    <row r="108" spans="1:9" x14ac:dyDescent="0.2">
      <c r="A108" s="11" t="s">
        <v>18</v>
      </c>
      <c r="B108" s="3">
        <v>1262</v>
      </c>
      <c r="C108" s="3">
        <v>748</v>
      </c>
      <c r="D108" s="3">
        <v>703</v>
      </c>
      <c r="E108" s="3">
        <v>529</v>
      </c>
      <c r="F108" s="3">
        <v>757</v>
      </c>
      <c r="G108" s="3">
        <v>1028</v>
      </c>
      <c r="H108" s="3">
        <v>1177</v>
      </c>
      <c r="I108" s="3">
        <v>1231</v>
      </c>
    </row>
    <row r="109" spans="1:9" x14ac:dyDescent="0.2">
      <c r="A109" s="11" t="s">
        <v>95</v>
      </c>
      <c r="B109" s="3">
        <v>206</v>
      </c>
      <c r="C109" s="3">
        <v>252</v>
      </c>
      <c r="D109" s="3">
        <v>266</v>
      </c>
      <c r="E109" s="3">
        <v>294</v>
      </c>
      <c r="F109" s="3">
        <v>160</v>
      </c>
      <c r="G109" s="3">
        <v>121</v>
      </c>
      <c r="H109" s="3">
        <v>179</v>
      </c>
      <c r="I109" s="3">
        <v>160</v>
      </c>
    </row>
    <row r="110" spans="1:9" x14ac:dyDescent="0.2">
      <c r="A110" s="11" t="s">
        <v>96</v>
      </c>
      <c r="B110" s="3">
        <v>240</v>
      </c>
      <c r="C110" s="3">
        <v>271</v>
      </c>
      <c r="D110" s="3">
        <v>300</v>
      </c>
      <c r="E110" s="3">
        <v>320</v>
      </c>
      <c r="F110" s="3">
        <v>347</v>
      </c>
      <c r="G110" s="3">
        <v>385</v>
      </c>
      <c r="H110" s="3">
        <v>438</v>
      </c>
      <c r="I110" s="3">
        <v>480</v>
      </c>
    </row>
    <row r="112" spans="1:9" x14ac:dyDescent="0.2">
      <c r="A112" s="14" t="s">
        <v>99</v>
      </c>
      <c r="B112" s="14"/>
      <c r="C112" s="14"/>
      <c r="D112" s="14"/>
      <c r="E112" s="14"/>
      <c r="F112" s="14"/>
      <c r="G112" s="14"/>
      <c r="H112" s="14"/>
      <c r="I112" s="14"/>
    </row>
    <row r="113" spans="1:9" x14ac:dyDescent="0.2">
      <c r="A113" s="28" t="s">
        <v>109</v>
      </c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2" t="s">
        <v>100</v>
      </c>
      <c r="B114" s="3">
        <f t="shared" ref="B114:H114" si="17">+SUM(B115:B117)</f>
        <v>13740</v>
      </c>
      <c r="C114" s="3">
        <v>14764</v>
      </c>
      <c r="D114" s="3">
        <v>15216</v>
      </c>
      <c r="E114" s="3">
        <f t="shared" si="17"/>
        <v>14855</v>
      </c>
      <c r="F114" s="3">
        <f t="shared" si="17"/>
        <v>15902</v>
      </c>
      <c r="G114" s="3">
        <f t="shared" si="17"/>
        <v>14484</v>
      </c>
      <c r="H114" s="3">
        <f t="shared" si="17"/>
        <v>17179</v>
      </c>
      <c r="I114" s="3">
        <f>+SUM(I115:I117)</f>
        <v>18353</v>
      </c>
    </row>
    <row r="115" spans="1:9" x14ac:dyDescent="0.2">
      <c r="A115" s="11" t="s">
        <v>113</v>
      </c>
      <c r="B115">
        <v>8506</v>
      </c>
      <c r="C115">
        <v>9299</v>
      </c>
      <c r="D115">
        <v>9684</v>
      </c>
      <c r="E115">
        <v>9322</v>
      </c>
      <c r="F115">
        <v>10045</v>
      </c>
      <c r="G115">
        <v>9329</v>
      </c>
      <c r="H115" s="8">
        <v>11644</v>
      </c>
      <c r="I115" s="8">
        <v>12228</v>
      </c>
    </row>
    <row r="116" spans="1:9" x14ac:dyDescent="0.2">
      <c r="A116" s="11" t="s">
        <v>114</v>
      </c>
      <c r="B116">
        <v>4410</v>
      </c>
      <c r="C116">
        <v>4746</v>
      </c>
      <c r="D116">
        <v>4866</v>
      </c>
      <c r="E116">
        <v>4938</v>
      </c>
      <c r="F116">
        <v>5260</v>
      </c>
      <c r="G116">
        <v>4639</v>
      </c>
      <c r="H116" s="8">
        <v>5028</v>
      </c>
      <c r="I116" s="8">
        <v>5492</v>
      </c>
    </row>
    <row r="117" spans="1:9" x14ac:dyDescent="0.2">
      <c r="A117" s="11" t="s">
        <v>115</v>
      </c>
      <c r="B117">
        <v>824</v>
      </c>
      <c r="C117">
        <v>719</v>
      </c>
      <c r="D117">
        <v>646</v>
      </c>
      <c r="E117">
        <v>595</v>
      </c>
      <c r="F117">
        <v>597</v>
      </c>
      <c r="G117">
        <v>516</v>
      </c>
      <c r="H117">
        <v>507</v>
      </c>
      <c r="I117">
        <v>633</v>
      </c>
    </row>
    <row r="118" spans="1:9" x14ac:dyDescent="0.2">
      <c r="A118" s="2" t="s">
        <v>101</v>
      </c>
      <c r="B118" s="3">
        <f t="shared" ref="B118" si="18">+SUM(B119:B121)</f>
        <v>7126</v>
      </c>
      <c r="C118" s="3">
        <v>7568</v>
      </c>
      <c r="D118" s="3">
        <v>7970</v>
      </c>
      <c r="E118" s="3">
        <f t="shared" ref="E118:H118" si="19">+SUM(E119:E121)</f>
        <v>9242</v>
      </c>
      <c r="F118" s="3">
        <f t="shared" si="19"/>
        <v>9812</v>
      </c>
      <c r="G118" s="3">
        <f t="shared" si="19"/>
        <v>9347</v>
      </c>
      <c r="H118" s="3">
        <f t="shared" si="19"/>
        <v>11456</v>
      </c>
      <c r="I118" s="3">
        <f>+SUM(I119:I121)</f>
        <v>12479</v>
      </c>
    </row>
    <row r="119" spans="1:9" x14ac:dyDescent="0.2">
      <c r="A119" s="11" t="s">
        <v>113</v>
      </c>
      <c r="B119">
        <f>3876+827</f>
        <v>4703</v>
      </c>
      <c r="C119">
        <f>3985+882</f>
        <v>4867</v>
      </c>
      <c r="D119">
        <v>5192</v>
      </c>
      <c r="E119">
        <v>5875</v>
      </c>
      <c r="F119">
        <v>6293</v>
      </c>
      <c r="G119">
        <v>5892</v>
      </c>
      <c r="H119" s="8">
        <v>6970</v>
      </c>
      <c r="I119" s="8">
        <v>7388</v>
      </c>
    </row>
    <row r="120" spans="1:9" x14ac:dyDescent="0.2">
      <c r="A120" s="11" t="s">
        <v>114</v>
      </c>
      <c r="B120">
        <f>1555+495</f>
        <v>2050</v>
      </c>
      <c r="C120">
        <f>1628+463</f>
        <v>2091</v>
      </c>
      <c r="D120">
        <v>2395</v>
      </c>
      <c r="E120">
        <v>2940</v>
      </c>
      <c r="F120">
        <v>3087</v>
      </c>
      <c r="G120">
        <v>3053</v>
      </c>
      <c r="H120" s="8">
        <v>3996</v>
      </c>
      <c r="I120" s="8">
        <v>4527</v>
      </c>
    </row>
    <row r="121" spans="1:9" x14ac:dyDescent="0.2">
      <c r="A121" s="11" t="s">
        <v>115</v>
      </c>
      <c r="B121">
        <f>278+95</f>
        <v>373</v>
      </c>
      <c r="C121">
        <f>271+86</f>
        <v>357</v>
      </c>
      <c r="D121">
        <v>383</v>
      </c>
      <c r="E121">
        <v>427</v>
      </c>
      <c r="F121">
        <v>432</v>
      </c>
      <c r="G121">
        <v>402</v>
      </c>
      <c r="H121">
        <v>490</v>
      </c>
      <c r="I121">
        <v>564</v>
      </c>
    </row>
    <row r="122" spans="1:9" x14ac:dyDescent="0.2">
      <c r="A122" s="2" t="s">
        <v>102</v>
      </c>
      <c r="B122" s="3">
        <f t="shared" ref="B122" si="20">+SUM(B123:B125)</f>
        <v>3067</v>
      </c>
      <c r="C122" s="3">
        <v>3785</v>
      </c>
      <c r="D122" s="3">
        <v>4237</v>
      </c>
      <c r="E122" s="3">
        <f t="shared" ref="E122:H122" si="21">+SUM(E123:E125)</f>
        <v>5134</v>
      </c>
      <c r="F122" s="3">
        <f t="shared" si="21"/>
        <v>6208</v>
      </c>
      <c r="G122" s="3">
        <f t="shared" si="21"/>
        <v>6679</v>
      </c>
      <c r="H122" s="3">
        <f t="shared" si="21"/>
        <v>8290</v>
      </c>
      <c r="I122" s="3">
        <f>+SUM(I123:I125)</f>
        <v>7547</v>
      </c>
    </row>
    <row r="123" spans="1:9" x14ac:dyDescent="0.2">
      <c r="A123" s="11" t="s">
        <v>113</v>
      </c>
      <c r="B123">
        <v>2016</v>
      </c>
      <c r="C123">
        <v>2599</v>
      </c>
      <c r="D123">
        <v>2920</v>
      </c>
      <c r="E123">
        <v>3496</v>
      </c>
      <c r="F123">
        <v>4262</v>
      </c>
      <c r="G123">
        <v>4635</v>
      </c>
      <c r="H123" s="8">
        <v>5748</v>
      </c>
      <c r="I123" s="8">
        <v>5416</v>
      </c>
    </row>
    <row r="124" spans="1:9" x14ac:dyDescent="0.2">
      <c r="A124" s="11" t="s">
        <v>114</v>
      </c>
      <c r="B124">
        <v>925</v>
      </c>
      <c r="C124">
        <v>1055</v>
      </c>
      <c r="D124">
        <v>1188</v>
      </c>
      <c r="E124">
        <v>1508</v>
      </c>
      <c r="F124">
        <v>1808</v>
      </c>
      <c r="G124">
        <v>1896</v>
      </c>
      <c r="H124" s="8">
        <v>2347</v>
      </c>
      <c r="I124" s="8">
        <v>1938</v>
      </c>
    </row>
    <row r="125" spans="1:9" x14ac:dyDescent="0.2">
      <c r="A125" s="11" t="s">
        <v>115</v>
      </c>
      <c r="B125">
        <v>126</v>
      </c>
      <c r="C125">
        <v>131</v>
      </c>
      <c r="D125">
        <v>129</v>
      </c>
      <c r="E125">
        <v>130</v>
      </c>
      <c r="F125">
        <v>138</v>
      </c>
      <c r="G125">
        <v>148</v>
      </c>
      <c r="H125">
        <v>195</v>
      </c>
      <c r="I125">
        <v>193</v>
      </c>
    </row>
    <row r="126" spans="1:9" x14ac:dyDescent="0.2">
      <c r="A126" s="2" t="s">
        <v>106</v>
      </c>
      <c r="B126" s="3">
        <f t="shared" ref="B126:H126" si="22">+SUM(B127:B129)</f>
        <v>755</v>
      </c>
      <c r="C126" s="3">
        <v>4317</v>
      </c>
      <c r="D126" s="3">
        <v>4737</v>
      </c>
      <c r="E126" s="3">
        <f t="shared" ref="E126:G126" si="23">+SUM(E127:E129)</f>
        <v>5166</v>
      </c>
      <c r="F126" s="3">
        <f t="shared" si="23"/>
        <v>5254</v>
      </c>
      <c r="G126" s="3">
        <f t="shared" si="23"/>
        <v>5028</v>
      </c>
      <c r="H126" s="3">
        <f t="shared" si="22"/>
        <v>5343</v>
      </c>
      <c r="I126" s="3">
        <f>+SUM(I127:I129)</f>
        <v>5955</v>
      </c>
    </row>
    <row r="127" spans="1:9" x14ac:dyDescent="0.2">
      <c r="A127" s="11" t="s">
        <v>113</v>
      </c>
      <c r="B127">
        <v>452</v>
      </c>
      <c r="C127">
        <v>570</v>
      </c>
      <c r="D127">
        <v>3285</v>
      </c>
      <c r="E127">
        <v>3575</v>
      </c>
      <c r="F127">
        <v>3622</v>
      </c>
      <c r="G127">
        <v>3449</v>
      </c>
      <c r="H127" s="8">
        <v>3659</v>
      </c>
      <c r="I127" s="8">
        <v>4111</v>
      </c>
    </row>
    <row r="128" spans="1:9" x14ac:dyDescent="0.2">
      <c r="A128" s="11" t="s">
        <v>114</v>
      </c>
      <c r="B128">
        <v>230</v>
      </c>
      <c r="C128">
        <v>228</v>
      </c>
      <c r="D128">
        <v>1185</v>
      </c>
      <c r="E128">
        <v>1347</v>
      </c>
      <c r="F128">
        <v>1395</v>
      </c>
      <c r="G128">
        <v>1365</v>
      </c>
      <c r="H128" s="8">
        <v>1494</v>
      </c>
      <c r="I128" s="8">
        <v>1610</v>
      </c>
    </row>
    <row r="129" spans="1:9" x14ac:dyDescent="0.2">
      <c r="A129" s="11" t="s">
        <v>115</v>
      </c>
      <c r="B129">
        <v>73</v>
      </c>
      <c r="C129">
        <v>71</v>
      </c>
      <c r="D129">
        <v>267</v>
      </c>
      <c r="E129">
        <v>244</v>
      </c>
      <c r="F129">
        <v>237</v>
      </c>
      <c r="G129">
        <v>214</v>
      </c>
      <c r="H129">
        <v>190</v>
      </c>
      <c r="I129">
        <v>234</v>
      </c>
    </row>
    <row r="130" spans="1:9" x14ac:dyDescent="0.2">
      <c r="A130" s="2" t="s">
        <v>215</v>
      </c>
      <c r="B130" s="3">
        <v>3898</v>
      </c>
      <c r="C130" s="3">
        <v>0</v>
      </c>
      <c r="D130" s="3">
        <v>0</v>
      </c>
      <c r="E130" s="3">
        <v>0</v>
      </c>
      <c r="F130" s="3">
        <v>0</v>
      </c>
      <c r="G130" s="63">
        <v>0</v>
      </c>
      <c r="H130" s="63">
        <v>0</v>
      </c>
      <c r="I130" s="63">
        <v>0</v>
      </c>
    </row>
    <row r="131" spans="1:9" x14ac:dyDescent="0.2">
      <c r="A131" s="11" t="s">
        <v>113</v>
      </c>
      <c r="B131">
        <v>2641</v>
      </c>
      <c r="C131" s="3">
        <v>0</v>
      </c>
      <c r="D131" s="3">
        <v>0</v>
      </c>
      <c r="E131" s="3">
        <v>0</v>
      </c>
      <c r="F131" s="3">
        <v>0</v>
      </c>
      <c r="G131" s="63">
        <v>0</v>
      </c>
      <c r="H131" s="63">
        <v>0</v>
      </c>
      <c r="I131" s="63">
        <v>0</v>
      </c>
    </row>
    <row r="132" spans="1:9" x14ac:dyDescent="0.2">
      <c r="A132" s="11" t="s">
        <v>114</v>
      </c>
      <c r="B132">
        <v>1021</v>
      </c>
      <c r="C132" s="3">
        <v>0</v>
      </c>
      <c r="D132" s="3">
        <v>0</v>
      </c>
      <c r="E132" s="3">
        <v>0</v>
      </c>
      <c r="F132" s="3">
        <v>0</v>
      </c>
      <c r="G132" s="63">
        <v>0</v>
      </c>
      <c r="H132" s="63">
        <v>0</v>
      </c>
      <c r="I132" s="63">
        <v>0</v>
      </c>
    </row>
    <row r="133" spans="1:9" x14ac:dyDescent="0.2">
      <c r="A133" s="11" t="s">
        <v>115</v>
      </c>
      <c r="B133">
        <v>236</v>
      </c>
      <c r="C133" s="3">
        <v>0</v>
      </c>
      <c r="D133" s="3">
        <v>0</v>
      </c>
      <c r="E133" s="3">
        <v>0</v>
      </c>
      <c r="F133" s="3">
        <v>0</v>
      </c>
      <c r="G133" s="63">
        <v>0</v>
      </c>
      <c r="H133" s="63">
        <v>0</v>
      </c>
      <c r="I133" s="63">
        <v>0</v>
      </c>
    </row>
    <row r="134" spans="1:9" x14ac:dyDescent="0.2">
      <c r="A134" s="2" t="s">
        <v>107</v>
      </c>
      <c r="B134" s="3">
        <v>115</v>
      </c>
      <c r="C134" s="3">
        <v>73</v>
      </c>
      <c r="D134" s="3">
        <v>73</v>
      </c>
      <c r="E134" s="3">
        <v>88</v>
      </c>
      <c r="F134" s="3">
        <v>42</v>
      </c>
      <c r="G134" s="3">
        <v>30</v>
      </c>
      <c r="H134" s="3">
        <v>25</v>
      </c>
      <c r="I134" s="3">
        <v>102</v>
      </c>
    </row>
    <row r="135" spans="1:9" x14ac:dyDescent="0.2">
      <c r="A135" s="4" t="s">
        <v>103</v>
      </c>
      <c r="B135" s="5">
        <f>+B114+B118+B122+B130+B134+B126</f>
        <v>28701</v>
      </c>
      <c r="C135" s="5">
        <f t="shared" ref="C135:I135" si="24">+C114+C118+C122+C130+C134+C126</f>
        <v>30507</v>
      </c>
      <c r="D135" s="5">
        <f t="shared" si="24"/>
        <v>32233</v>
      </c>
      <c r="E135" s="5">
        <f t="shared" si="24"/>
        <v>34485</v>
      </c>
      <c r="F135" s="5">
        <f t="shared" si="24"/>
        <v>37218</v>
      </c>
      <c r="G135" s="5">
        <f t="shared" si="24"/>
        <v>35568</v>
      </c>
      <c r="H135" s="5">
        <f t="shared" si="24"/>
        <v>42293</v>
      </c>
      <c r="I135" s="5">
        <f t="shared" si="24"/>
        <v>44436</v>
      </c>
    </row>
    <row r="136" spans="1:9" x14ac:dyDescent="0.2">
      <c r="A136" s="2" t="s">
        <v>104</v>
      </c>
      <c r="B136" s="64">
        <v>1982</v>
      </c>
      <c r="C136" s="64">
        <v>1955</v>
      </c>
      <c r="D136" s="64">
        <v>2042</v>
      </c>
      <c r="E136" s="64">
        <v>1886</v>
      </c>
      <c r="F136" s="64">
        <v>1906</v>
      </c>
      <c r="G136" s="64">
        <v>1846</v>
      </c>
      <c r="H136" s="3">
        <f>+SUM(H137:H140)</f>
        <v>2205</v>
      </c>
      <c r="I136" s="3">
        <f>+SUM(I137:I140)</f>
        <v>2346</v>
      </c>
    </row>
    <row r="137" spans="1:9" x14ac:dyDescent="0.2">
      <c r="A137" s="11" t="s">
        <v>113</v>
      </c>
      <c r="B137" s="3">
        <v>0</v>
      </c>
      <c r="C137" s="3">
        <v>0</v>
      </c>
      <c r="D137" s="3">
        <v>0</v>
      </c>
      <c r="E137" s="3">
        <v>0</v>
      </c>
      <c r="F137" s="3">
        <v>1658</v>
      </c>
      <c r="G137" s="3">
        <v>1642</v>
      </c>
      <c r="H137" s="3">
        <v>1986</v>
      </c>
      <c r="I137" s="3">
        <v>2094</v>
      </c>
    </row>
    <row r="138" spans="1:9" x14ac:dyDescent="0.2">
      <c r="A138" s="11" t="s">
        <v>114</v>
      </c>
      <c r="B138" s="3">
        <v>0</v>
      </c>
      <c r="C138" s="3">
        <v>0</v>
      </c>
      <c r="D138" s="3">
        <v>0</v>
      </c>
      <c r="E138" s="3">
        <v>0</v>
      </c>
      <c r="F138" s="3">
        <v>118</v>
      </c>
      <c r="G138" s="3">
        <v>89</v>
      </c>
      <c r="H138" s="3">
        <v>104</v>
      </c>
      <c r="I138" s="3">
        <v>103</v>
      </c>
    </row>
    <row r="139" spans="1:9" x14ac:dyDescent="0.2">
      <c r="A139" s="11" t="s">
        <v>115</v>
      </c>
      <c r="B139" s="3">
        <v>0</v>
      </c>
      <c r="C139" s="3">
        <v>0</v>
      </c>
      <c r="D139" s="3">
        <v>0</v>
      </c>
      <c r="E139" s="3">
        <v>0</v>
      </c>
      <c r="F139" s="3">
        <v>24</v>
      </c>
      <c r="G139" s="3">
        <v>25</v>
      </c>
      <c r="H139" s="3">
        <v>29</v>
      </c>
      <c r="I139" s="3">
        <v>26</v>
      </c>
    </row>
    <row r="140" spans="1:9" x14ac:dyDescent="0.2">
      <c r="A140" s="11" t="s">
        <v>121</v>
      </c>
      <c r="B140" s="3">
        <v>0</v>
      </c>
      <c r="C140" s="3">
        <v>0</v>
      </c>
      <c r="D140" s="3">
        <v>0</v>
      </c>
      <c r="E140" s="3">
        <v>0</v>
      </c>
      <c r="F140" s="3">
        <v>106</v>
      </c>
      <c r="G140" s="3">
        <v>90</v>
      </c>
      <c r="H140" s="3">
        <v>86</v>
      </c>
      <c r="I140" s="3">
        <v>123</v>
      </c>
    </row>
    <row r="141" spans="1:9" x14ac:dyDescent="0.2">
      <c r="A141" s="2" t="s">
        <v>108</v>
      </c>
      <c r="B141" s="3">
        <v>-82</v>
      </c>
      <c r="C141" s="3">
        <v>-86</v>
      </c>
      <c r="D141" s="3">
        <v>75</v>
      </c>
      <c r="E141" s="3">
        <v>26</v>
      </c>
      <c r="F141" s="3">
        <v>-7</v>
      </c>
      <c r="G141" s="3">
        <v>-11</v>
      </c>
      <c r="H141" s="3">
        <v>40</v>
      </c>
      <c r="I141" s="3">
        <v>-72</v>
      </c>
    </row>
    <row r="142" spans="1:9" ht="16" thickBot="1" x14ac:dyDescent="0.25">
      <c r="A142" s="6" t="s">
        <v>105</v>
      </c>
      <c r="B142" s="7">
        <f t="shared" ref="B142:H142" si="25">+B135+B136+B141</f>
        <v>30601</v>
      </c>
      <c r="C142" s="7">
        <f t="shared" si="25"/>
        <v>32376</v>
      </c>
      <c r="D142" s="7">
        <f t="shared" si="25"/>
        <v>34350</v>
      </c>
      <c r="E142" s="7">
        <f t="shared" si="25"/>
        <v>36397</v>
      </c>
      <c r="F142" s="7">
        <f t="shared" si="25"/>
        <v>39117</v>
      </c>
      <c r="G142" s="7">
        <f t="shared" si="25"/>
        <v>37403</v>
      </c>
      <c r="H142" s="7">
        <f t="shared" si="25"/>
        <v>44538</v>
      </c>
      <c r="I142" s="7">
        <f>+I135+I136+I141</f>
        <v>46710</v>
      </c>
    </row>
    <row r="143" spans="1:9" s="12" customFormat="1" ht="16" thickTop="1" x14ac:dyDescent="0.2">
      <c r="A143" s="12" t="s">
        <v>111</v>
      </c>
      <c r="B143" s="13">
        <f>+I142-I2</f>
        <v>0</v>
      </c>
      <c r="C143" s="13">
        <f t="shared" ref="C143:I143" si="26">+J142-J2</f>
        <v>0</v>
      </c>
      <c r="D143" s="13">
        <f t="shared" si="26"/>
        <v>0</v>
      </c>
      <c r="E143" s="13">
        <f t="shared" si="26"/>
        <v>0</v>
      </c>
      <c r="F143" s="13">
        <f t="shared" si="26"/>
        <v>0</v>
      </c>
      <c r="G143" s="13">
        <f t="shared" si="26"/>
        <v>0</v>
      </c>
      <c r="H143" s="13">
        <f t="shared" si="26"/>
        <v>0</v>
      </c>
      <c r="I143" s="13">
        <f t="shared" si="26"/>
        <v>0</v>
      </c>
    </row>
    <row r="144" spans="1:9" x14ac:dyDescent="0.2">
      <c r="A144" s="1" t="s">
        <v>110</v>
      </c>
    </row>
    <row r="145" spans="1:9" x14ac:dyDescent="0.2">
      <c r="A145" s="2" t="s">
        <v>100</v>
      </c>
      <c r="B145" s="3">
        <v>3645</v>
      </c>
      <c r="C145" s="3">
        <v>3763</v>
      </c>
      <c r="D145" s="3">
        <v>3875</v>
      </c>
      <c r="E145" s="3">
        <v>3600</v>
      </c>
      <c r="F145" s="3">
        <v>3925</v>
      </c>
      <c r="G145" s="3">
        <v>2899</v>
      </c>
      <c r="H145" s="3">
        <v>5089</v>
      </c>
      <c r="I145" s="3">
        <v>5114</v>
      </c>
    </row>
    <row r="146" spans="1:9" x14ac:dyDescent="0.2">
      <c r="A146" s="2" t="s">
        <v>101</v>
      </c>
      <c r="B146" s="3">
        <f>1277+247</f>
        <v>1524</v>
      </c>
      <c r="C146" s="3">
        <v>1787</v>
      </c>
      <c r="D146" s="3">
        <v>1507</v>
      </c>
      <c r="E146" s="3">
        <v>1587</v>
      </c>
      <c r="F146" s="3">
        <v>1995</v>
      </c>
      <c r="G146" s="3">
        <v>1541</v>
      </c>
      <c r="H146" s="3">
        <v>2435</v>
      </c>
      <c r="I146" s="3">
        <v>3293</v>
      </c>
    </row>
    <row r="147" spans="1:9" x14ac:dyDescent="0.2">
      <c r="A147" s="2" t="s">
        <v>102</v>
      </c>
      <c r="B147" s="3">
        <v>993</v>
      </c>
      <c r="C147" s="3">
        <v>1372</v>
      </c>
      <c r="D147" s="3">
        <v>1507</v>
      </c>
      <c r="E147" s="3">
        <v>1807</v>
      </c>
      <c r="F147" s="3">
        <v>2376</v>
      </c>
      <c r="G147" s="3">
        <v>2490</v>
      </c>
      <c r="H147" s="3">
        <v>3243</v>
      </c>
      <c r="I147" s="3">
        <v>2365</v>
      </c>
    </row>
    <row r="148" spans="1:9" x14ac:dyDescent="0.2">
      <c r="A148" s="2" t="s">
        <v>106</v>
      </c>
      <c r="B148" s="3">
        <v>100</v>
      </c>
      <c r="C148" s="3">
        <v>1002</v>
      </c>
      <c r="D148" s="3">
        <v>980</v>
      </c>
      <c r="E148" s="3">
        <v>1189</v>
      </c>
      <c r="F148" s="3">
        <v>1323</v>
      </c>
      <c r="G148" s="3">
        <v>1184</v>
      </c>
      <c r="H148" s="3">
        <v>1530</v>
      </c>
      <c r="I148" s="3">
        <v>1896</v>
      </c>
    </row>
    <row r="149" spans="1:9" x14ac:dyDescent="0.2">
      <c r="A149" s="2" t="s">
        <v>215</v>
      </c>
      <c r="B149" s="3">
        <v>818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</row>
    <row r="150" spans="1:9" x14ac:dyDescent="0.2">
      <c r="A150" s="2" t="s">
        <v>107</v>
      </c>
      <c r="B150" s="3">
        <v>-2263</v>
      </c>
      <c r="C150" s="3">
        <v>-2596</v>
      </c>
      <c r="D150" s="3">
        <v>-2677</v>
      </c>
      <c r="E150" s="3">
        <v>-2658</v>
      </c>
      <c r="F150" s="3">
        <v>-3262</v>
      </c>
      <c r="G150" s="3">
        <v>-3468</v>
      </c>
      <c r="H150" s="3">
        <v>-3656</v>
      </c>
      <c r="I150" s="3">
        <v>-4262</v>
      </c>
    </row>
    <row r="151" spans="1:9" x14ac:dyDescent="0.2">
      <c r="A151" s="4" t="s">
        <v>103</v>
      </c>
      <c r="B151" s="5">
        <f t="shared" ref="B151:I151" si="27">+SUM(B145:B150)</f>
        <v>4817</v>
      </c>
      <c r="C151" s="5">
        <f t="shared" si="27"/>
        <v>5328</v>
      </c>
      <c r="D151" s="5">
        <f t="shared" si="27"/>
        <v>5192</v>
      </c>
      <c r="E151" s="5">
        <f t="shared" si="27"/>
        <v>5525</v>
      </c>
      <c r="F151" s="5">
        <f t="shared" si="27"/>
        <v>6357</v>
      </c>
      <c r="G151" s="5">
        <f t="shared" si="27"/>
        <v>4646</v>
      </c>
      <c r="H151" s="5">
        <f t="shared" si="27"/>
        <v>8641</v>
      </c>
      <c r="I151" s="5">
        <f t="shared" si="27"/>
        <v>8406</v>
      </c>
    </row>
    <row r="152" spans="1:9" x14ac:dyDescent="0.2">
      <c r="A152" s="2" t="s">
        <v>104</v>
      </c>
      <c r="B152" s="3">
        <v>517</v>
      </c>
      <c r="C152" s="3">
        <v>487</v>
      </c>
      <c r="D152" s="3">
        <v>477</v>
      </c>
      <c r="E152" s="3">
        <v>310</v>
      </c>
      <c r="F152" s="3">
        <v>303</v>
      </c>
      <c r="G152" s="3">
        <v>297</v>
      </c>
      <c r="H152" s="3">
        <v>543</v>
      </c>
      <c r="I152" s="3">
        <v>669</v>
      </c>
    </row>
    <row r="153" spans="1:9" x14ac:dyDescent="0.2">
      <c r="A153" s="2" t="s">
        <v>108</v>
      </c>
      <c r="B153" s="3">
        <v>-1101</v>
      </c>
      <c r="C153" s="3">
        <v>-1173</v>
      </c>
      <c r="D153" s="3">
        <v>-724</v>
      </c>
      <c r="E153" s="3">
        <v>-1456</v>
      </c>
      <c r="F153" s="3">
        <v>-1810</v>
      </c>
      <c r="G153" s="3">
        <v>-1967</v>
      </c>
      <c r="H153" s="3">
        <v>-2261</v>
      </c>
      <c r="I153" s="3">
        <v>-2219</v>
      </c>
    </row>
    <row r="154" spans="1:9" ht="16" thickBot="1" x14ac:dyDescent="0.25">
      <c r="A154" s="6" t="s">
        <v>112</v>
      </c>
      <c r="B154" s="7">
        <f t="shared" ref="B154" si="28">+SUM(B151:B153)</f>
        <v>4233</v>
      </c>
      <c r="C154" s="7">
        <f t="shared" ref="C154:H154" si="29">+SUM(C151:C153)</f>
        <v>4642</v>
      </c>
      <c r="D154" s="7">
        <f t="shared" si="29"/>
        <v>4945</v>
      </c>
      <c r="E154" s="7">
        <f t="shared" si="29"/>
        <v>4379</v>
      </c>
      <c r="F154" s="7">
        <f t="shared" si="29"/>
        <v>4850</v>
      </c>
      <c r="G154" s="7">
        <f t="shared" si="29"/>
        <v>2976</v>
      </c>
      <c r="H154" s="7">
        <f t="shared" si="29"/>
        <v>6923</v>
      </c>
      <c r="I154" s="7">
        <f>+SUM(I151:I153)</f>
        <v>6856</v>
      </c>
    </row>
    <row r="155" spans="1:9" s="12" customFormat="1" ht="16" thickTop="1" x14ac:dyDescent="0.2">
      <c r="A155" s="12" t="s">
        <v>111</v>
      </c>
      <c r="B155" s="13">
        <f t="shared" ref="B155:G155" si="30">+B154-B10-B8</f>
        <v>0</v>
      </c>
      <c r="C155" s="13">
        <f t="shared" si="30"/>
        <v>0</v>
      </c>
      <c r="D155" s="13">
        <f t="shared" si="30"/>
        <v>0</v>
      </c>
      <c r="E155" s="13">
        <f t="shared" si="30"/>
        <v>0</v>
      </c>
      <c r="F155" s="13">
        <f t="shared" si="30"/>
        <v>0</v>
      </c>
      <c r="G155" s="13">
        <f t="shared" si="30"/>
        <v>0</v>
      </c>
      <c r="H155" s="13">
        <f>+H154-H10-H8</f>
        <v>0</v>
      </c>
      <c r="I155" s="13">
        <f>+I154-I10-I8</f>
        <v>0</v>
      </c>
    </row>
    <row r="156" spans="1:9" x14ac:dyDescent="0.2">
      <c r="A156" s="1" t="s">
        <v>117</v>
      </c>
    </row>
    <row r="157" spans="1:9" x14ac:dyDescent="0.2">
      <c r="A157" s="2" t="s">
        <v>100</v>
      </c>
      <c r="B157" s="3">
        <v>632</v>
      </c>
      <c r="C157" s="3">
        <v>742</v>
      </c>
      <c r="D157" s="3">
        <v>819</v>
      </c>
      <c r="E157" s="3">
        <v>848</v>
      </c>
      <c r="F157" s="3">
        <v>814</v>
      </c>
      <c r="G157" s="3">
        <v>645</v>
      </c>
      <c r="H157" s="3">
        <v>617</v>
      </c>
      <c r="I157" s="3">
        <v>639</v>
      </c>
    </row>
    <row r="158" spans="1:9" x14ac:dyDescent="0.2">
      <c r="A158" s="2" t="s">
        <v>101</v>
      </c>
      <c r="B158" s="3">
        <f>451+47</f>
        <v>498</v>
      </c>
      <c r="C158" s="3">
        <f>589+50</f>
        <v>639</v>
      </c>
      <c r="D158" s="3">
        <f>658+48</f>
        <v>706</v>
      </c>
      <c r="E158" s="3">
        <v>849</v>
      </c>
      <c r="F158" s="3">
        <v>929</v>
      </c>
      <c r="G158" s="3">
        <v>885</v>
      </c>
      <c r="H158" s="3">
        <v>982</v>
      </c>
      <c r="I158" s="3">
        <v>920</v>
      </c>
    </row>
    <row r="159" spans="1:9" x14ac:dyDescent="0.2">
      <c r="A159" s="2" t="s">
        <v>102</v>
      </c>
      <c r="B159" s="3">
        <v>254</v>
      </c>
      <c r="C159" s="3">
        <v>234</v>
      </c>
      <c r="D159" s="3">
        <v>225</v>
      </c>
      <c r="E159" s="3">
        <v>256</v>
      </c>
      <c r="F159" s="3">
        <v>237</v>
      </c>
      <c r="G159" s="3">
        <v>214</v>
      </c>
      <c r="H159" s="3">
        <v>288</v>
      </c>
      <c r="I159" s="3">
        <v>303</v>
      </c>
    </row>
    <row r="160" spans="1:9" x14ac:dyDescent="0.2">
      <c r="A160" s="2" t="s">
        <v>118</v>
      </c>
      <c r="B160" s="3">
        <v>205</v>
      </c>
      <c r="C160" s="3">
        <v>223</v>
      </c>
      <c r="D160" s="3">
        <v>223</v>
      </c>
      <c r="E160" s="3">
        <v>339</v>
      </c>
      <c r="F160" s="3">
        <v>326</v>
      </c>
      <c r="G160" s="3">
        <v>296</v>
      </c>
      <c r="H160" s="3">
        <v>304</v>
      </c>
      <c r="I160" s="3">
        <v>274</v>
      </c>
    </row>
    <row r="161" spans="1:9" x14ac:dyDescent="0.2">
      <c r="A161" s="2" t="s">
        <v>215</v>
      </c>
      <c r="B161" s="3">
        <v>103</v>
      </c>
      <c r="C161" s="3">
        <v>109</v>
      </c>
      <c r="D161" s="3">
        <v>120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</row>
    <row r="162" spans="1:9" x14ac:dyDescent="0.2">
      <c r="A162" s="2" t="s">
        <v>107</v>
      </c>
      <c r="B162" s="3">
        <v>484</v>
      </c>
      <c r="C162" s="3">
        <v>511</v>
      </c>
      <c r="D162" s="3">
        <v>533</v>
      </c>
      <c r="E162" s="3">
        <v>597</v>
      </c>
      <c r="F162" s="3">
        <v>665</v>
      </c>
      <c r="G162" s="3">
        <v>830</v>
      </c>
      <c r="H162" s="3">
        <v>780</v>
      </c>
      <c r="I162" s="3">
        <v>789</v>
      </c>
    </row>
    <row r="163" spans="1:9" x14ac:dyDescent="0.2">
      <c r="A163" s="4" t="s">
        <v>119</v>
      </c>
      <c r="B163" s="5">
        <f t="shared" ref="B163:I163" si="31">+SUM(B157:B162)</f>
        <v>2176</v>
      </c>
      <c r="C163" s="5">
        <f t="shared" si="31"/>
        <v>2458</v>
      </c>
      <c r="D163" s="5">
        <f t="shared" si="31"/>
        <v>2626</v>
      </c>
      <c r="E163" s="5">
        <f t="shared" si="31"/>
        <v>2889</v>
      </c>
      <c r="F163" s="5">
        <f t="shared" si="31"/>
        <v>2971</v>
      </c>
      <c r="G163" s="5">
        <f t="shared" si="31"/>
        <v>2870</v>
      </c>
      <c r="H163" s="5">
        <f t="shared" si="31"/>
        <v>2971</v>
      </c>
      <c r="I163" s="5">
        <f t="shared" si="31"/>
        <v>2925</v>
      </c>
    </row>
    <row r="164" spans="1:9" x14ac:dyDescent="0.2">
      <c r="A164" s="2" t="s">
        <v>104</v>
      </c>
      <c r="B164" s="3">
        <v>122</v>
      </c>
      <c r="C164" s="3">
        <v>125</v>
      </c>
      <c r="D164" s="3">
        <v>125</v>
      </c>
      <c r="E164" s="3">
        <v>115</v>
      </c>
      <c r="F164" s="3">
        <v>100</v>
      </c>
      <c r="G164" s="3">
        <v>80</v>
      </c>
      <c r="H164" s="3">
        <v>63</v>
      </c>
      <c r="I164" s="3">
        <v>49</v>
      </c>
    </row>
    <row r="165" spans="1:9" x14ac:dyDescent="0.2">
      <c r="A165" s="2" t="s">
        <v>108</v>
      </c>
      <c r="B165" s="3">
        <v>713</v>
      </c>
      <c r="C165" s="3">
        <v>937</v>
      </c>
      <c r="D165" s="3">
        <v>1238</v>
      </c>
      <c r="E165" s="3">
        <v>1450</v>
      </c>
      <c r="F165" s="3">
        <v>1673</v>
      </c>
      <c r="G165" s="3">
        <v>1916</v>
      </c>
      <c r="H165" s="3">
        <v>1870</v>
      </c>
      <c r="I165" s="3">
        <v>1817</v>
      </c>
    </row>
    <row r="166" spans="1:9" ht="16" thickBot="1" x14ac:dyDescent="0.25">
      <c r="A166" s="6" t="s">
        <v>120</v>
      </c>
      <c r="B166" s="7">
        <f t="shared" ref="B166:H166" si="32">+SUM(B163:B165)</f>
        <v>3011</v>
      </c>
      <c r="C166" s="7">
        <f t="shared" si="32"/>
        <v>3520</v>
      </c>
      <c r="D166" s="7">
        <f t="shared" si="32"/>
        <v>3989</v>
      </c>
      <c r="E166" s="7">
        <f t="shared" si="32"/>
        <v>4454</v>
      </c>
      <c r="F166" s="7">
        <f t="shared" si="32"/>
        <v>4744</v>
      </c>
      <c r="G166" s="7">
        <f t="shared" si="32"/>
        <v>4866</v>
      </c>
      <c r="H166" s="7">
        <f t="shared" si="32"/>
        <v>4904</v>
      </c>
      <c r="I166" s="7">
        <f>+SUM(I163:I165)</f>
        <v>4791</v>
      </c>
    </row>
    <row r="167" spans="1:9" ht="16" thickTop="1" x14ac:dyDescent="0.2">
      <c r="A167" s="12" t="s">
        <v>111</v>
      </c>
      <c r="B167" s="13">
        <f t="shared" ref="B167:I167" si="33">+B166-B32</f>
        <v>0</v>
      </c>
      <c r="C167" s="13">
        <f t="shared" si="33"/>
        <v>0</v>
      </c>
      <c r="D167" s="13">
        <f t="shared" si="33"/>
        <v>0</v>
      </c>
      <c r="E167" s="13">
        <f t="shared" si="33"/>
        <v>0</v>
      </c>
      <c r="F167" s="13">
        <f t="shared" si="33"/>
        <v>0</v>
      </c>
      <c r="G167" s="13">
        <f t="shared" si="33"/>
        <v>0</v>
      </c>
      <c r="H167" s="13">
        <f t="shared" si="33"/>
        <v>0</v>
      </c>
      <c r="I167" s="13">
        <f t="shared" si="33"/>
        <v>0</v>
      </c>
    </row>
    <row r="168" spans="1:9" x14ac:dyDescent="0.2">
      <c r="A168" s="1" t="s">
        <v>122</v>
      </c>
    </row>
    <row r="169" spans="1:9" x14ac:dyDescent="0.2">
      <c r="A169" s="2" t="s">
        <v>100</v>
      </c>
      <c r="B169" s="3">
        <v>208</v>
      </c>
      <c r="C169" s="3">
        <v>242</v>
      </c>
      <c r="D169" s="3">
        <v>223</v>
      </c>
      <c r="E169" s="3">
        <v>196</v>
      </c>
      <c r="F169" s="3">
        <v>117</v>
      </c>
      <c r="G169" s="3">
        <v>110</v>
      </c>
      <c r="H169" s="3">
        <v>98</v>
      </c>
      <c r="I169" s="3">
        <v>146</v>
      </c>
    </row>
    <row r="170" spans="1:9" x14ac:dyDescent="0.2">
      <c r="A170" s="2" t="s">
        <v>101</v>
      </c>
      <c r="B170" s="3">
        <f>216+20</f>
        <v>236</v>
      </c>
      <c r="C170" s="3">
        <f>215+17</f>
        <v>232</v>
      </c>
      <c r="D170" s="3">
        <f>162+10</f>
        <v>172</v>
      </c>
      <c r="E170" s="3">
        <v>240</v>
      </c>
      <c r="F170" s="3">
        <v>233</v>
      </c>
      <c r="G170" s="3">
        <v>139</v>
      </c>
      <c r="H170" s="3">
        <v>153</v>
      </c>
      <c r="I170" s="3">
        <v>197</v>
      </c>
    </row>
    <row r="171" spans="1:9" x14ac:dyDescent="0.2">
      <c r="A171" s="2" t="s">
        <v>102</v>
      </c>
      <c r="B171" s="3">
        <v>69</v>
      </c>
      <c r="C171" s="3">
        <v>44</v>
      </c>
      <c r="D171" s="3">
        <v>51</v>
      </c>
      <c r="E171" s="3">
        <v>76</v>
      </c>
      <c r="F171" s="3">
        <v>49</v>
      </c>
      <c r="G171" s="3">
        <v>28</v>
      </c>
      <c r="H171" s="3">
        <v>94</v>
      </c>
      <c r="I171" s="3">
        <v>78</v>
      </c>
    </row>
    <row r="172" spans="1:9" x14ac:dyDescent="0.2">
      <c r="A172" s="2" t="s">
        <v>118</v>
      </c>
      <c r="B172" s="3">
        <v>15</v>
      </c>
      <c r="C172" s="3">
        <v>13</v>
      </c>
      <c r="D172" s="3">
        <v>21</v>
      </c>
      <c r="E172" s="3">
        <v>49</v>
      </c>
      <c r="F172" s="3">
        <v>47</v>
      </c>
      <c r="G172" s="3">
        <v>41</v>
      </c>
      <c r="H172" s="3">
        <v>54</v>
      </c>
      <c r="I172" s="3">
        <v>56</v>
      </c>
    </row>
    <row r="173" spans="1:9" x14ac:dyDescent="0.2">
      <c r="A173" s="2" t="s">
        <v>215</v>
      </c>
      <c r="B173" s="3">
        <v>37</v>
      </c>
      <c r="C173" s="3">
        <v>51</v>
      </c>
      <c r="D173" s="3">
        <v>39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</row>
    <row r="174" spans="1:9" x14ac:dyDescent="0.2">
      <c r="A174" s="2" t="s">
        <v>107</v>
      </c>
      <c r="B174" s="3">
        <v>225</v>
      </c>
      <c r="C174" s="3">
        <v>258</v>
      </c>
      <c r="D174" s="3">
        <v>278</v>
      </c>
      <c r="E174" s="3">
        <v>286</v>
      </c>
      <c r="F174" s="3">
        <v>278</v>
      </c>
      <c r="G174" s="3">
        <v>438</v>
      </c>
      <c r="H174" s="3">
        <v>278</v>
      </c>
      <c r="I174" s="3">
        <v>222</v>
      </c>
    </row>
    <row r="175" spans="1:9" x14ac:dyDescent="0.2">
      <c r="A175" s="4" t="s">
        <v>119</v>
      </c>
      <c r="B175" s="5">
        <f t="shared" ref="B175:I175" si="34">+SUM(B169:B174)</f>
        <v>790</v>
      </c>
      <c r="C175" s="5">
        <f t="shared" si="34"/>
        <v>840</v>
      </c>
      <c r="D175" s="5">
        <f t="shared" si="34"/>
        <v>784</v>
      </c>
      <c r="E175" s="5">
        <f t="shared" si="34"/>
        <v>847</v>
      </c>
      <c r="F175" s="5">
        <f t="shared" si="34"/>
        <v>724</v>
      </c>
      <c r="G175" s="5">
        <f t="shared" si="34"/>
        <v>756</v>
      </c>
      <c r="H175" s="5">
        <f t="shared" si="34"/>
        <v>677</v>
      </c>
      <c r="I175" s="5">
        <f t="shared" si="34"/>
        <v>699</v>
      </c>
    </row>
    <row r="176" spans="1:9" x14ac:dyDescent="0.2">
      <c r="A176" s="2" t="s">
        <v>104</v>
      </c>
      <c r="B176" s="3">
        <v>69</v>
      </c>
      <c r="C176" s="3">
        <v>39</v>
      </c>
      <c r="D176" s="3">
        <v>30</v>
      </c>
      <c r="E176" s="3">
        <v>22</v>
      </c>
      <c r="F176" s="3">
        <v>18</v>
      </c>
      <c r="G176" s="3">
        <v>12</v>
      </c>
      <c r="H176" s="3">
        <v>7</v>
      </c>
      <c r="I176" s="3">
        <v>9</v>
      </c>
    </row>
    <row r="177" spans="1:9" x14ac:dyDescent="0.2">
      <c r="A177" s="2" t="s">
        <v>108</v>
      </c>
      <c r="B177" s="3">
        <f t="shared" ref="B177:I177" si="35">-(SUM(B175:B176)+B83)</f>
        <v>104</v>
      </c>
      <c r="C177" s="3">
        <f t="shared" si="35"/>
        <v>264</v>
      </c>
      <c r="D177" s="3">
        <f t="shared" si="35"/>
        <v>291</v>
      </c>
      <c r="E177" s="3">
        <f t="shared" si="35"/>
        <v>159</v>
      </c>
      <c r="F177" s="3">
        <f t="shared" si="35"/>
        <v>377</v>
      </c>
      <c r="G177" s="3">
        <f t="shared" si="35"/>
        <v>318</v>
      </c>
      <c r="H177" s="3">
        <f t="shared" si="35"/>
        <v>11</v>
      </c>
      <c r="I177" s="3">
        <f t="shared" si="35"/>
        <v>50</v>
      </c>
    </row>
    <row r="178" spans="1:9" ht="16" thickBot="1" x14ac:dyDescent="0.25">
      <c r="A178" s="6" t="s">
        <v>123</v>
      </c>
      <c r="B178" s="7">
        <f t="shared" ref="B178:H178" si="36">+SUM(B175:B177)</f>
        <v>963</v>
      </c>
      <c r="C178" s="7">
        <f t="shared" si="36"/>
        <v>1143</v>
      </c>
      <c r="D178" s="7">
        <f t="shared" si="36"/>
        <v>1105</v>
      </c>
      <c r="E178" s="7">
        <f t="shared" si="36"/>
        <v>1028</v>
      </c>
      <c r="F178" s="7">
        <f t="shared" si="36"/>
        <v>1119</v>
      </c>
      <c r="G178" s="7">
        <f t="shared" si="36"/>
        <v>1086</v>
      </c>
      <c r="H178" s="7">
        <f t="shared" si="36"/>
        <v>695</v>
      </c>
      <c r="I178" s="7">
        <f>+SUM(I175:I177)</f>
        <v>758</v>
      </c>
    </row>
    <row r="179" spans="1:9" ht="16" thickTop="1" x14ac:dyDescent="0.2">
      <c r="A179" s="12" t="s">
        <v>111</v>
      </c>
      <c r="B179" s="13">
        <f t="shared" ref="B179:I179" si="37">+B178+B83</f>
        <v>0</v>
      </c>
      <c r="C179" s="13">
        <f t="shared" si="37"/>
        <v>0</v>
      </c>
      <c r="D179" s="13">
        <f t="shared" si="37"/>
        <v>0</v>
      </c>
      <c r="E179" s="13">
        <f t="shared" si="37"/>
        <v>0</v>
      </c>
      <c r="F179" s="13">
        <f t="shared" si="37"/>
        <v>0</v>
      </c>
      <c r="G179" s="13">
        <f t="shared" si="37"/>
        <v>0</v>
      </c>
      <c r="H179" s="13">
        <f t="shared" si="37"/>
        <v>0</v>
      </c>
      <c r="I179" s="13">
        <f t="shared" si="37"/>
        <v>0</v>
      </c>
    </row>
    <row r="180" spans="1:9" x14ac:dyDescent="0.2">
      <c r="A180" s="1" t="s">
        <v>124</v>
      </c>
    </row>
    <row r="181" spans="1:9" x14ac:dyDescent="0.2">
      <c r="A181" s="2" t="s">
        <v>100</v>
      </c>
      <c r="B181" s="3">
        <v>121</v>
      </c>
      <c r="C181" s="3">
        <v>133</v>
      </c>
      <c r="D181" s="3">
        <v>140</v>
      </c>
      <c r="E181" s="3">
        <v>160</v>
      </c>
      <c r="F181" s="3">
        <v>149</v>
      </c>
      <c r="G181" s="3">
        <v>148</v>
      </c>
      <c r="H181" s="3">
        <v>130</v>
      </c>
      <c r="I181" s="3">
        <v>124</v>
      </c>
    </row>
    <row r="182" spans="1:9" x14ac:dyDescent="0.2">
      <c r="A182" s="2" t="s">
        <v>101</v>
      </c>
      <c r="B182" s="3">
        <f>75+12</f>
        <v>87</v>
      </c>
      <c r="C182" s="3">
        <f>72+12</f>
        <v>84</v>
      </c>
      <c r="D182" s="3">
        <f>91+13</f>
        <v>104</v>
      </c>
      <c r="E182" s="3">
        <v>116</v>
      </c>
      <c r="F182" s="3">
        <v>111</v>
      </c>
      <c r="G182" s="3">
        <v>132</v>
      </c>
      <c r="H182" s="3">
        <v>136</v>
      </c>
      <c r="I182" s="3">
        <v>134</v>
      </c>
    </row>
    <row r="183" spans="1:9" x14ac:dyDescent="0.2">
      <c r="A183" s="2" t="s">
        <v>102</v>
      </c>
      <c r="B183" s="3">
        <v>46</v>
      </c>
      <c r="C183" s="3">
        <v>48</v>
      </c>
      <c r="D183" s="3">
        <v>54</v>
      </c>
      <c r="E183" s="3">
        <v>56</v>
      </c>
      <c r="F183" s="3">
        <v>50</v>
      </c>
      <c r="G183" s="3">
        <v>44</v>
      </c>
      <c r="H183" s="3">
        <v>46</v>
      </c>
      <c r="I183" s="3">
        <v>41</v>
      </c>
    </row>
    <row r="184" spans="1:9" x14ac:dyDescent="0.2">
      <c r="A184" s="2" t="s">
        <v>106</v>
      </c>
      <c r="B184" s="3">
        <v>22</v>
      </c>
      <c r="C184" s="3">
        <v>18</v>
      </c>
      <c r="D184" s="3">
        <v>18</v>
      </c>
      <c r="E184" s="3">
        <v>55</v>
      </c>
      <c r="F184" s="3">
        <v>53</v>
      </c>
      <c r="G184" s="3">
        <v>46</v>
      </c>
      <c r="H184" s="3">
        <v>43</v>
      </c>
      <c r="I184" s="3">
        <v>42</v>
      </c>
    </row>
    <row r="185" spans="1:9" x14ac:dyDescent="0.2">
      <c r="A185" s="2" t="s">
        <v>215</v>
      </c>
      <c r="B185" s="3">
        <v>27</v>
      </c>
      <c r="C185" s="3">
        <v>25</v>
      </c>
      <c r="D185" s="3">
        <v>38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</row>
    <row r="186" spans="1:9" x14ac:dyDescent="0.2">
      <c r="A186" s="2" t="s">
        <v>107</v>
      </c>
      <c r="B186" s="3">
        <v>210</v>
      </c>
      <c r="C186" s="3">
        <v>230</v>
      </c>
      <c r="D186" s="3">
        <v>233</v>
      </c>
      <c r="E186" s="3">
        <v>217</v>
      </c>
      <c r="F186" s="3">
        <v>195</v>
      </c>
      <c r="G186" s="3">
        <v>214</v>
      </c>
      <c r="H186" s="3">
        <v>222</v>
      </c>
      <c r="I186" s="3">
        <v>220</v>
      </c>
    </row>
    <row r="187" spans="1:9" x14ac:dyDescent="0.2">
      <c r="A187" s="4" t="s">
        <v>119</v>
      </c>
      <c r="B187" s="5">
        <f t="shared" ref="B187:I187" si="38">+SUM(B181:B186)</f>
        <v>513</v>
      </c>
      <c r="C187" s="5">
        <f t="shared" si="38"/>
        <v>538</v>
      </c>
      <c r="D187" s="5">
        <f t="shared" si="38"/>
        <v>587</v>
      </c>
      <c r="E187" s="5">
        <f t="shared" si="38"/>
        <v>604</v>
      </c>
      <c r="F187" s="5">
        <f t="shared" si="38"/>
        <v>558</v>
      </c>
      <c r="G187" s="5">
        <f t="shared" si="38"/>
        <v>584</v>
      </c>
      <c r="H187" s="5">
        <f t="shared" si="38"/>
        <v>577</v>
      </c>
      <c r="I187" s="5">
        <f t="shared" si="38"/>
        <v>561</v>
      </c>
    </row>
    <row r="188" spans="1:9" x14ac:dyDescent="0.2">
      <c r="A188" s="2" t="s">
        <v>104</v>
      </c>
      <c r="B188" s="3">
        <v>18</v>
      </c>
      <c r="C188" s="3">
        <v>27</v>
      </c>
      <c r="D188" s="3">
        <v>28</v>
      </c>
      <c r="E188" s="3">
        <v>33</v>
      </c>
      <c r="F188" s="3">
        <v>31</v>
      </c>
      <c r="G188" s="3">
        <v>25</v>
      </c>
      <c r="H188" s="3">
        <v>26</v>
      </c>
      <c r="I188" s="3">
        <v>22</v>
      </c>
    </row>
    <row r="189" spans="1:9" x14ac:dyDescent="0.2">
      <c r="A189" s="2" t="s">
        <v>108</v>
      </c>
      <c r="B189" s="3">
        <v>75</v>
      </c>
      <c r="C189" s="3">
        <v>84</v>
      </c>
      <c r="D189" s="3">
        <v>91</v>
      </c>
      <c r="E189" s="3">
        <v>110</v>
      </c>
      <c r="F189" s="3">
        <v>116</v>
      </c>
      <c r="G189" s="3">
        <v>112</v>
      </c>
      <c r="H189" s="3">
        <v>141</v>
      </c>
      <c r="I189" s="3">
        <v>134</v>
      </c>
    </row>
    <row r="190" spans="1:9" ht="16" thickBot="1" x14ac:dyDescent="0.25">
      <c r="A190" s="6" t="s">
        <v>125</v>
      </c>
      <c r="B190" s="7">
        <f t="shared" ref="B190:H190" si="39">+SUM(B187:B189)</f>
        <v>606</v>
      </c>
      <c r="C190" s="7">
        <f t="shared" si="39"/>
        <v>649</v>
      </c>
      <c r="D190" s="7">
        <f t="shared" si="39"/>
        <v>706</v>
      </c>
      <c r="E190" s="7">
        <f t="shared" si="39"/>
        <v>747</v>
      </c>
      <c r="F190" s="7">
        <f t="shared" si="39"/>
        <v>705</v>
      </c>
      <c r="G190" s="7">
        <f t="shared" si="39"/>
        <v>721</v>
      </c>
      <c r="H190" s="7">
        <f t="shared" si="39"/>
        <v>744</v>
      </c>
      <c r="I190" s="7">
        <f>+SUM(I187:I189)</f>
        <v>717</v>
      </c>
    </row>
    <row r="191" spans="1:9" ht="16" thickTop="1" x14ac:dyDescent="0.2">
      <c r="A191" s="12" t="s">
        <v>111</v>
      </c>
      <c r="B191" s="13">
        <f t="shared" ref="B191:I191" si="40">+B190-B67</f>
        <v>0</v>
      </c>
      <c r="C191" s="13">
        <f t="shared" si="40"/>
        <v>0</v>
      </c>
      <c r="D191" s="13">
        <f t="shared" si="40"/>
        <v>0</v>
      </c>
      <c r="E191" s="13">
        <f t="shared" si="40"/>
        <v>0</v>
      </c>
      <c r="F191" s="13">
        <f t="shared" si="40"/>
        <v>0</v>
      </c>
      <c r="G191" s="13">
        <f t="shared" si="40"/>
        <v>0</v>
      </c>
      <c r="H191" s="13">
        <f t="shared" si="40"/>
        <v>0</v>
      </c>
      <c r="I191" s="13">
        <f t="shared" si="40"/>
        <v>0</v>
      </c>
    </row>
    <row r="192" spans="1:9" x14ac:dyDescent="0.2">
      <c r="A192" s="14" t="s">
        <v>126</v>
      </c>
      <c r="B192" s="14"/>
      <c r="C192" s="14"/>
      <c r="D192" s="14"/>
      <c r="E192" s="14"/>
      <c r="F192" s="14"/>
      <c r="G192" s="14"/>
      <c r="H192" s="14"/>
      <c r="I192" s="14"/>
    </row>
    <row r="193" spans="1:9" x14ac:dyDescent="0.2">
      <c r="A193" s="28" t="s">
        <v>127</v>
      </c>
    </row>
    <row r="194" spans="1:9" x14ac:dyDescent="0.2">
      <c r="A194" s="33" t="s">
        <v>100</v>
      </c>
      <c r="B194" s="34">
        <v>0.12</v>
      </c>
      <c r="C194" s="34">
        <v>0.08</v>
      </c>
      <c r="D194" s="34">
        <v>0.03</v>
      </c>
      <c r="E194" s="34">
        <v>-0.02</v>
      </c>
      <c r="F194" s="34">
        <v>7.0000000000000007E-2</v>
      </c>
      <c r="G194" s="34">
        <v>-0.09</v>
      </c>
      <c r="H194" s="34">
        <v>0.19</v>
      </c>
      <c r="I194" s="34">
        <v>7.0000000000000007E-2</v>
      </c>
    </row>
    <row r="195" spans="1:9" x14ac:dyDescent="0.2">
      <c r="A195" s="31" t="s">
        <v>113</v>
      </c>
      <c r="B195" s="30">
        <v>0.14000000000000001</v>
      </c>
      <c r="C195" s="30">
        <v>0.1</v>
      </c>
      <c r="D195" s="30">
        <v>0.04</v>
      </c>
      <c r="E195" s="30">
        <v>-0.04</v>
      </c>
      <c r="F195" s="30">
        <v>0.08</v>
      </c>
      <c r="G195" s="30">
        <v>-7.0000000000000007E-2</v>
      </c>
      <c r="H195" s="30">
        <v>0.25</v>
      </c>
      <c r="I195" s="30">
        <v>0.05</v>
      </c>
    </row>
    <row r="196" spans="1:9" x14ac:dyDescent="0.2">
      <c r="A196" s="31" t="s">
        <v>114</v>
      </c>
      <c r="B196" s="30">
        <v>0.12</v>
      </c>
      <c r="C196" s="30">
        <v>0.08</v>
      </c>
      <c r="D196" s="30">
        <v>0.03</v>
      </c>
      <c r="E196" s="30">
        <v>0.01</v>
      </c>
      <c r="F196" s="30">
        <v>7.0000000000000007E-2</v>
      </c>
      <c r="G196" s="30">
        <v>-0.12</v>
      </c>
      <c r="H196" s="30">
        <v>0.08</v>
      </c>
      <c r="I196" s="30">
        <v>0.09</v>
      </c>
    </row>
    <row r="197" spans="1:9" x14ac:dyDescent="0.2">
      <c r="A197" s="31" t="s">
        <v>115</v>
      </c>
      <c r="B197" s="30">
        <v>-0.05</v>
      </c>
      <c r="C197" s="30">
        <v>-0.13</v>
      </c>
      <c r="D197" s="30">
        <v>-0.1</v>
      </c>
      <c r="E197" s="30">
        <v>-0.08</v>
      </c>
      <c r="F197" s="30">
        <v>0</v>
      </c>
      <c r="G197" s="30">
        <v>-0.14000000000000001</v>
      </c>
      <c r="H197" s="30">
        <v>-0.02</v>
      </c>
      <c r="I197" s="30">
        <v>0.25</v>
      </c>
    </row>
    <row r="198" spans="1:9" x14ac:dyDescent="0.2">
      <c r="A198" s="33" t="s">
        <v>101</v>
      </c>
      <c r="B198" s="34">
        <v>0.36</v>
      </c>
      <c r="C198" s="34">
        <v>0.31</v>
      </c>
      <c r="D198" s="34">
        <v>0.18</v>
      </c>
      <c r="E198" s="34">
        <v>0.09</v>
      </c>
      <c r="F198" s="34">
        <v>0.11</v>
      </c>
      <c r="G198" s="34">
        <v>-0.01</v>
      </c>
      <c r="H198" s="34">
        <v>0.23</v>
      </c>
      <c r="I198" s="34">
        <v>0.12</v>
      </c>
    </row>
    <row r="199" spans="1:9" x14ac:dyDescent="0.2">
      <c r="A199" s="31" t="s">
        <v>113</v>
      </c>
      <c r="B199" s="30">
        <v>0.47</v>
      </c>
      <c r="C199" s="30">
        <v>0.37</v>
      </c>
      <c r="D199" s="30">
        <v>0.16</v>
      </c>
      <c r="E199" s="30">
        <v>0.06</v>
      </c>
      <c r="F199" s="30">
        <v>0.12</v>
      </c>
      <c r="G199" s="30">
        <v>-0.03</v>
      </c>
      <c r="H199" s="30">
        <v>0.18</v>
      </c>
      <c r="I199" s="30">
        <v>0.09</v>
      </c>
    </row>
    <row r="200" spans="1:9" x14ac:dyDescent="0.2">
      <c r="A200" s="31" t="s">
        <v>114</v>
      </c>
      <c r="B200" s="30">
        <v>0.19</v>
      </c>
      <c r="C200" s="30">
        <v>0.25</v>
      </c>
      <c r="D200" s="30">
        <v>0.25</v>
      </c>
      <c r="E200" s="30">
        <v>0.16</v>
      </c>
      <c r="F200" s="30">
        <v>0.09</v>
      </c>
      <c r="G200" s="30">
        <v>0.02</v>
      </c>
      <c r="H200" s="30">
        <v>0.31</v>
      </c>
      <c r="I200" s="30">
        <v>0.16</v>
      </c>
    </row>
    <row r="201" spans="1:9" x14ac:dyDescent="0.2">
      <c r="A201" s="31" t="s">
        <v>115</v>
      </c>
      <c r="B201" s="30">
        <v>0.28999999999999998</v>
      </c>
      <c r="C201" s="30">
        <v>0.15</v>
      </c>
      <c r="D201" s="30">
        <v>0.13</v>
      </c>
      <c r="E201" s="30">
        <v>0.06</v>
      </c>
      <c r="F201" s="30">
        <v>0.05</v>
      </c>
      <c r="G201" s="30">
        <v>-0.03</v>
      </c>
      <c r="H201" s="30">
        <v>0.22</v>
      </c>
      <c r="I201" s="30">
        <v>0.17</v>
      </c>
    </row>
    <row r="202" spans="1:9" x14ac:dyDescent="0.2">
      <c r="A202" s="33" t="s">
        <v>102</v>
      </c>
      <c r="B202" s="34">
        <v>0.19</v>
      </c>
      <c r="C202" s="34">
        <v>0.27</v>
      </c>
      <c r="D202" s="34">
        <v>0.17</v>
      </c>
      <c r="E202" s="34">
        <v>0.18</v>
      </c>
      <c r="F202" s="34">
        <v>0.24</v>
      </c>
      <c r="G202" s="34">
        <v>0.11</v>
      </c>
      <c r="H202" s="34">
        <v>0.24</v>
      </c>
      <c r="I202" s="34">
        <v>-0.13</v>
      </c>
    </row>
    <row r="203" spans="1:9" x14ac:dyDescent="0.2">
      <c r="A203" s="31" t="s">
        <v>113</v>
      </c>
      <c r="B203" s="30">
        <v>0.28000000000000003</v>
      </c>
      <c r="C203" s="30">
        <v>0.33</v>
      </c>
      <c r="D203" s="30">
        <v>0.18</v>
      </c>
      <c r="E203" s="30">
        <v>0.16</v>
      </c>
      <c r="F203" s="30">
        <v>0.25</v>
      </c>
      <c r="G203" s="30">
        <v>0.12</v>
      </c>
      <c r="H203" s="30">
        <v>0.24</v>
      </c>
      <c r="I203" s="30">
        <v>-0.1</v>
      </c>
    </row>
    <row r="204" spans="1:9" x14ac:dyDescent="0.2">
      <c r="A204" s="31" t="s">
        <v>114</v>
      </c>
      <c r="B204" s="30">
        <v>7.0000000000000007E-2</v>
      </c>
      <c r="C204" s="30">
        <v>0.17</v>
      </c>
      <c r="D204" s="30">
        <v>0.18</v>
      </c>
      <c r="E204" s="30">
        <v>0.23</v>
      </c>
      <c r="F204" s="30">
        <v>0.23</v>
      </c>
      <c r="G204" s="30">
        <v>0.08</v>
      </c>
      <c r="H204" s="30">
        <v>0.24</v>
      </c>
      <c r="I204" s="30">
        <v>-0.21</v>
      </c>
    </row>
    <row r="205" spans="1:9" x14ac:dyDescent="0.2">
      <c r="A205" s="31" t="s">
        <v>115</v>
      </c>
      <c r="B205" s="30">
        <v>0.01</v>
      </c>
      <c r="C205" s="30">
        <v>7.0000000000000007E-2</v>
      </c>
      <c r="D205" s="30">
        <v>0.03</v>
      </c>
      <c r="E205" s="30">
        <v>-0.01</v>
      </c>
      <c r="F205" s="30">
        <v>0.08</v>
      </c>
      <c r="G205" s="30">
        <v>0.11</v>
      </c>
      <c r="H205" s="30">
        <v>0.32</v>
      </c>
      <c r="I205" s="30">
        <v>-0.06</v>
      </c>
    </row>
    <row r="206" spans="1:9" x14ac:dyDescent="0.2">
      <c r="A206" s="33" t="s">
        <v>106</v>
      </c>
      <c r="B206" s="34">
        <v>0.09</v>
      </c>
      <c r="C206" s="34">
        <v>0.22</v>
      </c>
      <c r="D206" s="34">
        <v>7.0000000000000007E-2</v>
      </c>
      <c r="E206" s="34">
        <v>0.1</v>
      </c>
      <c r="F206" s="34">
        <v>0.13</v>
      </c>
      <c r="G206" s="34">
        <v>0.01</v>
      </c>
      <c r="H206" s="34">
        <v>0.06</v>
      </c>
      <c r="I206" s="34">
        <v>0.16</v>
      </c>
    </row>
    <row r="207" spans="1:9" x14ac:dyDescent="0.2">
      <c r="A207" s="31" t="s">
        <v>113</v>
      </c>
      <c r="B207" s="30">
        <v>0.23</v>
      </c>
      <c r="C207" s="30">
        <v>0.34</v>
      </c>
      <c r="D207" s="30">
        <v>7.0000000000000007E-2</v>
      </c>
      <c r="E207" s="30">
        <v>0.09</v>
      </c>
      <c r="F207" s="30">
        <v>0.12</v>
      </c>
      <c r="G207" s="30">
        <v>0</v>
      </c>
      <c r="H207" s="30">
        <v>0.06</v>
      </c>
      <c r="I207" s="30">
        <v>0.17</v>
      </c>
    </row>
    <row r="208" spans="1:9" x14ac:dyDescent="0.2">
      <c r="A208" s="31" t="s">
        <v>114</v>
      </c>
      <c r="B208" s="30">
        <v>-0.08</v>
      </c>
      <c r="C208" s="30">
        <v>0.05</v>
      </c>
      <c r="D208" s="30">
        <v>0.1</v>
      </c>
      <c r="E208" s="30">
        <v>0.15</v>
      </c>
      <c r="F208" s="30">
        <v>0.15</v>
      </c>
      <c r="G208" s="30">
        <v>0.03</v>
      </c>
      <c r="H208" s="30">
        <v>0.09</v>
      </c>
      <c r="I208" s="30">
        <v>0.12</v>
      </c>
    </row>
    <row r="209" spans="1:9" x14ac:dyDescent="0.2">
      <c r="A209" s="31" t="s">
        <v>115</v>
      </c>
      <c r="B209" s="30">
        <v>-0.06</v>
      </c>
      <c r="C209" s="30">
        <v>0.03</v>
      </c>
      <c r="D209" s="30">
        <v>-0.06</v>
      </c>
      <c r="E209" s="30">
        <v>-0.08</v>
      </c>
      <c r="F209" s="30">
        <v>0.08</v>
      </c>
      <c r="G209" s="30">
        <v>-0.04</v>
      </c>
      <c r="H209" s="30">
        <v>-0.11</v>
      </c>
      <c r="I209" s="30">
        <v>0.28000000000000003</v>
      </c>
    </row>
    <row r="210" spans="1:9" x14ac:dyDescent="0.2">
      <c r="A210" s="33" t="s">
        <v>215</v>
      </c>
      <c r="B210" s="34">
        <v>0.08</v>
      </c>
      <c r="C210" s="34">
        <v>0.13</v>
      </c>
      <c r="D210" s="34">
        <v>0.14000000000000001</v>
      </c>
      <c r="E210" s="34">
        <v>0.1</v>
      </c>
      <c r="F210" s="34">
        <v>0.13</v>
      </c>
      <c r="G210" s="34">
        <v>0.01</v>
      </c>
      <c r="H210" s="34">
        <v>0.06</v>
      </c>
      <c r="I210" s="34">
        <v>0.16</v>
      </c>
    </row>
    <row r="211" spans="1:9" x14ac:dyDescent="0.2">
      <c r="A211" s="31" t="s">
        <v>113</v>
      </c>
      <c r="B211" s="30">
        <v>0.09</v>
      </c>
      <c r="C211" s="30">
        <v>0.14000000000000001</v>
      </c>
      <c r="D211" s="30">
        <v>0.17</v>
      </c>
      <c r="E211" s="65" t="s">
        <v>216</v>
      </c>
      <c r="F211" s="65" t="s">
        <v>216</v>
      </c>
      <c r="G211" s="65" t="s">
        <v>216</v>
      </c>
      <c r="H211" s="65" t="s">
        <v>216</v>
      </c>
      <c r="I211" s="65" t="s">
        <v>216</v>
      </c>
    </row>
    <row r="212" spans="1:9" x14ac:dyDescent="0.2">
      <c r="A212" s="31" t="s">
        <v>114</v>
      </c>
      <c r="B212" s="30">
        <v>0.05</v>
      </c>
      <c r="C212" s="30">
        <v>0.11</v>
      </c>
      <c r="D212" s="30">
        <v>0.08</v>
      </c>
      <c r="E212" s="65" t="s">
        <v>216</v>
      </c>
      <c r="F212" s="65" t="s">
        <v>216</v>
      </c>
      <c r="G212" s="65" t="s">
        <v>216</v>
      </c>
      <c r="H212" s="65" t="s">
        <v>216</v>
      </c>
      <c r="I212" s="65" t="s">
        <v>216</v>
      </c>
    </row>
    <row r="213" spans="1:9" x14ac:dyDescent="0.2">
      <c r="A213" s="31" t="s">
        <v>115</v>
      </c>
      <c r="B213" s="30">
        <v>0.05</v>
      </c>
      <c r="C213" s="30">
        <v>0.11</v>
      </c>
      <c r="D213" s="30">
        <v>0.02</v>
      </c>
      <c r="E213" s="65" t="s">
        <v>216</v>
      </c>
      <c r="F213" s="65" t="s">
        <v>216</v>
      </c>
      <c r="G213" s="65" t="s">
        <v>216</v>
      </c>
      <c r="H213" s="65" t="s">
        <v>216</v>
      </c>
      <c r="I213" s="65" t="s">
        <v>216</v>
      </c>
    </row>
    <row r="214" spans="1:9" x14ac:dyDescent="0.2">
      <c r="A214" s="33" t="s">
        <v>107</v>
      </c>
      <c r="B214" s="34">
        <v>-0.02</v>
      </c>
      <c r="C214" s="34">
        <v>-0.3</v>
      </c>
      <c r="D214" s="34">
        <v>0.02</v>
      </c>
      <c r="E214" s="34">
        <v>0.12</v>
      </c>
      <c r="F214" s="34">
        <v>-0.53</v>
      </c>
      <c r="G214" s="34">
        <v>-0.26</v>
      </c>
      <c r="H214" s="34">
        <v>-0.17</v>
      </c>
      <c r="I214" s="34">
        <v>3.02</v>
      </c>
    </row>
    <row r="215" spans="1:9" x14ac:dyDescent="0.2">
      <c r="A215" s="35" t="s">
        <v>103</v>
      </c>
      <c r="B215" s="37">
        <v>0.17</v>
      </c>
      <c r="C215" s="37">
        <v>0.11</v>
      </c>
      <c r="D215" s="37">
        <v>-0.03</v>
      </c>
      <c r="E215" s="37">
        <v>0.05</v>
      </c>
      <c r="F215" s="37">
        <v>0.15</v>
      </c>
      <c r="G215" s="37">
        <v>-0.02</v>
      </c>
      <c r="H215" s="37">
        <v>0.17</v>
      </c>
      <c r="I215" s="37">
        <v>0.06</v>
      </c>
    </row>
    <row r="216" spans="1:9" x14ac:dyDescent="0.2">
      <c r="A216" s="33" t="s">
        <v>104</v>
      </c>
      <c r="B216" s="34">
        <v>0.21</v>
      </c>
      <c r="C216" s="34">
        <v>0.02</v>
      </c>
      <c r="D216" s="34">
        <v>0.06</v>
      </c>
      <c r="E216" s="34">
        <v>-0.11</v>
      </c>
      <c r="F216" s="34">
        <v>0.03</v>
      </c>
      <c r="G216" s="34">
        <v>-0.01</v>
      </c>
      <c r="H216" s="34">
        <v>0.16</v>
      </c>
      <c r="I216" s="34">
        <v>7.0000000000000007E-2</v>
      </c>
    </row>
    <row r="217" spans="1:9" x14ac:dyDescent="0.2">
      <c r="A217" s="31" t="s">
        <v>113</v>
      </c>
      <c r="B217" s="30">
        <v>0</v>
      </c>
      <c r="C217" s="30">
        <v>0</v>
      </c>
      <c r="D217" s="30">
        <v>0</v>
      </c>
      <c r="E217" s="30">
        <v>0</v>
      </c>
      <c r="F217" s="30">
        <v>0.03</v>
      </c>
      <c r="G217" s="30">
        <v>0.01</v>
      </c>
      <c r="H217" s="30">
        <v>0.17</v>
      </c>
      <c r="I217" s="30">
        <v>0.06</v>
      </c>
    </row>
    <row r="218" spans="1:9" x14ac:dyDescent="0.2">
      <c r="A218" s="31" t="s">
        <v>114</v>
      </c>
      <c r="B218" s="30">
        <v>0</v>
      </c>
      <c r="C218" s="30">
        <v>0</v>
      </c>
      <c r="D218" s="30">
        <v>0</v>
      </c>
      <c r="E218" s="30">
        <v>0</v>
      </c>
      <c r="F218" s="30">
        <v>0</v>
      </c>
      <c r="G218" s="30">
        <v>-0.22</v>
      </c>
      <c r="H218" s="30">
        <v>0.13</v>
      </c>
      <c r="I218" s="30">
        <v>-0.03</v>
      </c>
    </row>
    <row r="219" spans="1:9" x14ac:dyDescent="0.2">
      <c r="A219" s="31" t="s">
        <v>115</v>
      </c>
      <c r="B219" s="30">
        <v>0</v>
      </c>
      <c r="C219" s="30">
        <v>0</v>
      </c>
      <c r="D219" s="30">
        <v>0</v>
      </c>
      <c r="E219" s="30">
        <v>0</v>
      </c>
      <c r="F219" s="30">
        <v>0</v>
      </c>
      <c r="G219" s="30">
        <v>0.08</v>
      </c>
      <c r="H219" s="30">
        <v>0.14000000000000001</v>
      </c>
      <c r="I219" s="30">
        <v>-0.16</v>
      </c>
    </row>
    <row r="220" spans="1:9" x14ac:dyDescent="0.2">
      <c r="A220" s="31" t="s">
        <v>121</v>
      </c>
      <c r="B220" s="30">
        <v>0.21</v>
      </c>
      <c r="C220" s="30">
        <v>0.02</v>
      </c>
      <c r="D220" s="30">
        <v>0.06</v>
      </c>
      <c r="E220" s="30">
        <v>-0.11</v>
      </c>
      <c r="F220" s="30">
        <v>0</v>
      </c>
      <c r="G220" s="30">
        <v>-0.14000000000000001</v>
      </c>
      <c r="H220" s="30">
        <v>-0.01</v>
      </c>
      <c r="I220" s="30">
        <v>0.42</v>
      </c>
    </row>
    <row r="221" spans="1:9" x14ac:dyDescent="0.2">
      <c r="A221" s="29" t="s">
        <v>108</v>
      </c>
      <c r="B221" s="30">
        <v>0</v>
      </c>
      <c r="C221" s="30">
        <v>0</v>
      </c>
      <c r="D221" s="30">
        <v>0</v>
      </c>
      <c r="E221" s="30">
        <v>0</v>
      </c>
      <c r="F221" s="30">
        <v>0</v>
      </c>
      <c r="G221" s="30">
        <v>0</v>
      </c>
      <c r="H221" s="30">
        <v>0</v>
      </c>
      <c r="I221" s="30">
        <v>0</v>
      </c>
    </row>
    <row r="222" spans="1:9" ht="16" thickBot="1" x14ac:dyDescent="0.25">
      <c r="A222" s="32" t="s">
        <v>105</v>
      </c>
      <c r="B222" s="36">
        <v>0.19</v>
      </c>
      <c r="C222" s="36">
        <v>0.1</v>
      </c>
      <c r="D222" s="36">
        <v>0.06</v>
      </c>
      <c r="E222" s="36">
        <v>0.04</v>
      </c>
      <c r="F222" s="36">
        <v>0.11</v>
      </c>
      <c r="G222" s="36">
        <v>-0.02</v>
      </c>
      <c r="H222" s="36">
        <v>0.17</v>
      </c>
      <c r="I222" s="36">
        <v>0.06</v>
      </c>
    </row>
    <row r="223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1"/>
  <sheetViews>
    <sheetView workbookViewId="0">
      <selection activeCell="B7" sqref="B7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41" t="s">
        <v>139</v>
      </c>
      <c r="B3" s="9">
        <f>[1]Historicals!B142</f>
        <v>30601</v>
      </c>
      <c r="C3" s="9">
        <f>[1]Historicals!C142</f>
        <v>32376</v>
      </c>
      <c r="D3" s="9">
        <f>[1]Historicals!D142</f>
        <v>34350</v>
      </c>
      <c r="E3" s="9">
        <f>[1]Historicals!E142</f>
        <v>36397</v>
      </c>
      <c r="F3" s="9">
        <f>[1]Historicals!F142</f>
        <v>39117</v>
      </c>
      <c r="G3" s="9">
        <f>[1]Historicals!G142</f>
        <v>37403</v>
      </c>
      <c r="H3" s="9">
        <f>[1]Historicals!H142</f>
        <v>44538</v>
      </c>
      <c r="I3" s="9">
        <f>[1]Historicals!I142</f>
        <v>46710</v>
      </c>
      <c r="J3" s="9">
        <f>I3*(1+J4)</f>
        <v>48998.789999999994</v>
      </c>
      <c r="K3" s="9">
        <f t="shared" ref="K3:N3" si="2">J3*(1+K4)</f>
        <v>51399.730709999989</v>
      </c>
      <c r="L3" s="9">
        <f t="shared" si="2"/>
        <v>53918.317514789982</v>
      </c>
      <c r="M3" s="9">
        <f t="shared" si="2"/>
        <v>56560.315073014688</v>
      </c>
      <c r="N3" s="9">
        <f t="shared" si="2"/>
        <v>59331.770511592404</v>
      </c>
      <c r="O3" t="s">
        <v>142</v>
      </c>
    </row>
    <row r="4" spans="1:15" x14ac:dyDescent="0.2">
      <c r="A4" s="42" t="s">
        <v>129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v>4.9000000000000002E-2</v>
      </c>
      <c r="K4" s="47">
        <v>4.9000000000000002E-2</v>
      </c>
      <c r="L4" s="47">
        <v>4.9000000000000002E-2</v>
      </c>
      <c r="M4" s="47">
        <v>4.9000000000000002E-2</v>
      </c>
      <c r="N4" s="47">
        <v>4.9000000000000002E-2</v>
      </c>
    </row>
    <row r="5" spans="1:15" x14ac:dyDescent="0.2">
      <c r="A5" s="41" t="s">
        <v>130</v>
      </c>
      <c r="B5" s="48">
        <f t="shared" ref="B5:I5" si="4">+B11+B8</f>
        <v>4839</v>
      </c>
      <c r="C5" s="48">
        <f t="shared" si="4"/>
        <v>5291</v>
      </c>
      <c r="D5" s="48">
        <f t="shared" si="4"/>
        <v>5651</v>
      </c>
      <c r="E5" s="48">
        <f t="shared" si="4"/>
        <v>5126</v>
      </c>
      <c r="F5" s="48">
        <f t="shared" si="4"/>
        <v>5555</v>
      </c>
      <c r="G5" s="48">
        <f t="shared" si="4"/>
        <v>3697</v>
      </c>
      <c r="H5" s="48">
        <f t="shared" si="4"/>
        <v>7667</v>
      </c>
      <c r="I5" s="48">
        <f t="shared" si="4"/>
        <v>7573</v>
      </c>
      <c r="J5" s="48">
        <f>J3*J7</f>
        <v>7944.0769999999993</v>
      </c>
      <c r="K5" s="48">
        <f t="shared" ref="K5:N5" si="5">K3*K7</f>
        <v>8333.3367729999973</v>
      </c>
      <c r="L5" s="48">
        <f t="shared" si="5"/>
        <v>8741.6702748769967</v>
      </c>
      <c r="M5" s="48">
        <f t="shared" si="5"/>
        <v>9170.0121183459687</v>
      </c>
      <c r="N5" s="48">
        <f t="shared" si="5"/>
        <v>9619.3427121449204</v>
      </c>
      <c r="O5" t="s">
        <v>143</v>
      </c>
    </row>
    <row r="6" spans="1:15" x14ac:dyDescent="0.2">
      <c r="A6" s="42" t="s">
        <v>129</v>
      </c>
      <c r="B6" s="47" t="str">
        <f t="shared" ref="B6:H6" si="6">+IFERROR(B5/A5-1,"nm")</f>
        <v>nm</v>
      </c>
      <c r="C6" s="47">
        <f t="shared" si="6"/>
        <v>9.3407728869601137E-2</v>
      </c>
      <c r="D6" s="47">
        <f t="shared" si="6"/>
        <v>6.8040068040068125E-2</v>
      </c>
      <c r="E6" s="47">
        <f t="shared" si="6"/>
        <v>-9.2903910812245583E-2</v>
      </c>
      <c r="F6" s="47">
        <f t="shared" si="6"/>
        <v>8.3690987124463545E-2</v>
      </c>
      <c r="G6" s="47">
        <f t="shared" si="6"/>
        <v>-0.3344734473447345</v>
      </c>
      <c r="H6" s="47">
        <f t="shared" si="6"/>
        <v>1.0738436570192049</v>
      </c>
      <c r="I6" s="47">
        <f>+IFERROR(I5/H5-1,"nm")</f>
        <v>-1.2260336507108338E-2</v>
      </c>
      <c r="J6" s="47">
        <f t="shared" ref="J6:N6" si="7">+IFERROR(J5/I5-1,"nm")</f>
        <v>4.8999999999999932E-2</v>
      </c>
      <c r="K6" s="47">
        <f t="shared" si="7"/>
        <v>4.899999999999971E-2</v>
      </c>
      <c r="L6" s="47">
        <f t="shared" si="7"/>
        <v>4.8999999999999932E-2</v>
      </c>
      <c r="M6" s="47">
        <f t="shared" si="7"/>
        <v>4.8999999999999932E-2</v>
      </c>
      <c r="N6" s="47">
        <f t="shared" si="7"/>
        <v>4.8999999999999932E-2</v>
      </c>
    </row>
    <row r="7" spans="1:15" x14ac:dyDescent="0.2">
      <c r="A7" s="42" t="s">
        <v>131</v>
      </c>
      <c r="B7" s="47">
        <f>+IFERROR(B5/B$3,"nm")</f>
        <v>0.15813208718669325</v>
      </c>
      <c r="C7" s="47">
        <f t="shared" ref="C7:I7" si="8">+IFERROR(C5/C$3,"nm")</f>
        <v>0.16342352359772672</v>
      </c>
      <c r="D7" s="47">
        <f t="shared" si="8"/>
        <v>0.16451237263464338</v>
      </c>
      <c r="E7" s="47">
        <f t="shared" si="8"/>
        <v>0.14083578316894249</v>
      </c>
      <c r="F7" s="47">
        <f t="shared" si="8"/>
        <v>0.14200986783240024</v>
      </c>
      <c r="G7" s="47">
        <f t="shared" si="8"/>
        <v>9.8842338849824879E-2</v>
      </c>
      <c r="H7" s="47">
        <f t="shared" si="8"/>
        <v>0.17214513449189456</v>
      </c>
      <c r="I7" s="47">
        <f t="shared" si="8"/>
        <v>0.16212802397773496</v>
      </c>
      <c r="J7" s="47">
        <f>I7</f>
        <v>0.16212802397773496</v>
      </c>
      <c r="K7" s="47">
        <f t="shared" ref="K7:N7" si="9">J7</f>
        <v>0.16212802397773496</v>
      </c>
      <c r="L7" s="47">
        <f t="shared" si="9"/>
        <v>0.16212802397773496</v>
      </c>
      <c r="M7" s="47">
        <f t="shared" si="9"/>
        <v>0.16212802397773496</v>
      </c>
      <c r="N7" s="47">
        <f t="shared" si="9"/>
        <v>0.16212802397773496</v>
      </c>
    </row>
    <row r="8" spans="1:15" x14ac:dyDescent="0.2">
      <c r="A8" s="41" t="s">
        <v>132</v>
      </c>
      <c r="B8" s="9">
        <f>[1]Historicals!B190</f>
        <v>606</v>
      </c>
      <c r="C8" s="9">
        <f>[1]Historicals!C190</f>
        <v>649</v>
      </c>
      <c r="D8" s="9">
        <f>[1]Historicals!D190</f>
        <v>706</v>
      </c>
      <c r="E8" s="9">
        <f>[1]Historicals!E190</f>
        <v>747</v>
      </c>
      <c r="F8" s="9">
        <f>[1]Historicals!F190</f>
        <v>705</v>
      </c>
      <c r="G8" s="9">
        <f>[1]Historicals!G190</f>
        <v>721</v>
      </c>
      <c r="H8" s="9">
        <f>[1]Historicals!H190</f>
        <v>744</v>
      </c>
      <c r="I8" s="9">
        <f>[1]Historicals!I190</f>
        <v>717</v>
      </c>
      <c r="J8" s="9">
        <f>J3*J10</f>
        <v>752.13299999999992</v>
      </c>
      <c r="K8" s="9">
        <f t="shared" ref="K8:N8" si="10">K3*K10</f>
        <v>788.9875169999998</v>
      </c>
      <c r="L8" s="9">
        <f t="shared" si="10"/>
        <v>827.6479053329997</v>
      </c>
      <c r="M8" s="9">
        <f t="shared" si="10"/>
        <v>868.20265269431661</v>
      </c>
      <c r="N8" s="9">
        <f t="shared" si="10"/>
        <v>910.74458267633804</v>
      </c>
      <c r="O8" t="s">
        <v>144</v>
      </c>
    </row>
    <row r="9" spans="1:15" x14ac:dyDescent="0.2">
      <c r="A9" s="42" t="s">
        <v>129</v>
      </c>
      <c r="B9" s="47" t="str">
        <f t="shared" ref="B9:H9" si="11">+IFERROR(B8/A8-1,"nm")</f>
        <v>nm</v>
      </c>
      <c r="C9" s="47">
        <f t="shared" si="11"/>
        <v>7.0957095709570872E-2</v>
      </c>
      <c r="D9" s="47">
        <f t="shared" si="11"/>
        <v>8.7827426810477727E-2</v>
      </c>
      <c r="E9" s="47">
        <f t="shared" si="11"/>
        <v>5.8073654390934815E-2</v>
      </c>
      <c r="F9" s="47">
        <f t="shared" si="11"/>
        <v>-5.6224899598393607E-2</v>
      </c>
      <c r="G9" s="47">
        <f t="shared" si="11"/>
        <v>2.2695035460992941E-2</v>
      </c>
      <c r="H9" s="47">
        <f t="shared" si="11"/>
        <v>3.1900138696255187E-2</v>
      </c>
      <c r="I9" s="47">
        <f>+IFERROR(I8/H8-1,"nm")</f>
        <v>-3.6290322580645129E-2</v>
      </c>
      <c r="J9" s="47">
        <f t="shared" ref="J9:N9" si="12">+IFERROR(J8/I8-1,"nm")</f>
        <v>4.8999999999999932E-2</v>
      </c>
      <c r="K9" s="47">
        <f t="shared" si="12"/>
        <v>4.8999999999999932E-2</v>
      </c>
      <c r="L9" s="47">
        <f t="shared" si="12"/>
        <v>4.8999999999999932E-2</v>
      </c>
      <c r="M9" s="47">
        <f t="shared" si="12"/>
        <v>4.8999999999999932E-2</v>
      </c>
      <c r="N9" s="47">
        <f t="shared" si="12"/>
        <v>4.8999999999999932E-2</v>
      </c>
    </row>
    <row r="10" spans="1:15" x14ac:dyDescent="0.2">
      <c r="A10" s="42" t="s">
        <v>133</v>
      </c>
      <c r="B10" s="47">
        <f>+IFERROR(B8/B$3,"nm")</f>
        <v>1.9803274402797295E-2</v>
      </c>
      <c r="C10" s="47">
        <f t="shared" ref="C10:I10" si="13">+IFERROR(C8/C$3,"nm")</f>
        <v>2.0045712873733631E-2</v>
      </c>
      <c r="D10" s="47">
        <f t="shared" si="13"/>
        <v>2.0553129548762736E-2</v>
      </c>
      <c r="E10" s="47">
        <f t="shared" si="13"/>
        <v>2.0523669533203285E-2</v>
      </c>
      <c r="F10" s="47">
        <f t="shared" si="13"/>
        <v>1.8022854513382928E-2</v>
      </c>
      <c r="G10" s="47">
        <f t="shared" si="13"/>
        <v>1.9276528620698875E-2</v>
      </c>
      <c r="H10" s="47">
        <f t="shared" si="13"/>
        <v>1.6704836319547355E-2</v>
      </c>
      <c r="I10" s="47">
        <f t="shared" si="13"/>
        <v>1.5350032113037893E-2</v>
      </c>
      <c r="J10" s="47">
        <f>I10</f>
        <v>1.5350032113037893E-2</v>
      </c>
      <c r="K10" s="47">
        <f t="shared" ref="K10:N10" si="14">J10</f>
        <v>1.5350032113037893E-2</v>
      </c>
      <c r="L10" s="47">
        <f t="shared" si="14"/>
        <v>1.5350032113037893E-2</v>
      </c>
      <c r="M10" s="47">
        <f t="shared" si="14"/>
        <v>1.5350032113037893E-2</v>
      </c>
      <c r="N10" s="47">
        <f t="shared" si="14"/>
        <v>1.5350032113037893E-2</v>
      </c>
    </row>
    <row r="11" spans="1:15" x14ac:dyDescent="0.2">
      <c r="A11" s="41" t="s">
        <v>134</v>
      </c>
      <c r="B11" s="9">
        <f>[1]Historicals!B154</f>
        <v>4233</v>
      </c>
      <c r="C11" s="9">
        <f>[1]Historicals!C154</f>
        <v>4642</v>
      </c>
      <c r="D11" s="9">
        <f>[1]Historicals!D154</f>
        <v>4945</v>
      </c>
      <c r="E11" s="9">
        <f>[1]Historicals!E154</f>
        <v>4379</v>
      </c>
      <c r="F11" s="9">
        <f>[1]Historicals!F154</f>
        <v>4850</v>
      </c>
      <c r="G11" s="9">
        <f>[1]Historicals!G154</f>
        <v>2976</v>
      </c>
      <c r="H11" s="9">
        <f>[1]Historicals!H154</f>
        <v>6923</v>
      </c>
      <c r="I11" s="9">
        <f>[1]Historicals!I154</f>
        <v>6856</v>
      </c>
      <c r="J11" s="48">
        <f t="shared" ref="J11:N11" si="15">J5-J8</f>
        <v>7191.9439999999995</v>
      </c>
      <c r="K11" s="48">
        <f t="shared" si="15"/>
        <v>7544.3492559999977</v>
      </c>
      <c r="L11" s="48">
        <f t="shared" si="15"/>
        <v>7914.0223695439972</v>
      </c>
      <c r="M11" s="48">
        <f t="shared" si="15"/>
        <v>8301.8094656516514</v>
      </c>
      <c r="N11" s="48">
        <f t="shared" si="15"/>
        <v>8708.5981294685826</v>
      </c>
      <c r="O11" t="s">
        <v>145</v>
      </c>
    </row>
    <row r="12" spans="1:15" x14ac:dyDescent="0.2">
      <c r="A12" s="42" t="s">
        <v>129</v>
      </c>
      <c r="B12" s="47" t="str">
        <f t="shared" ref="B12:H12" si="16">+IFERROR(B11/A11-1,"nm")</f>
        <v>nm</v>
      </c>
      <c r="C12" s="47">
        <f t="shared" si="16"/>
        <v>9.6621781242617555E-2</v>
      </c>
      <c r="D12" s="47">
        <f t="shared" si="16"/>
        <v>6.5273588970271357E-2</v>
      </c>
      <c r="E12" s="47">
        <f t="shared" si="16"/>
        <v>-0.11445904954499497</v>
      </c>
      <c r="F12" s="47">
        <f t="shared" si="16"/>
        <v>0.10755880337976698</v>
      </c>
      <c r="G12" s="47">
        <f t="shared" si="16"/>
        <v>-0.38639175257731961</v>
      </c>
      <c r="H12" s="47">
        <f t="shared" si="16"/>
        <v>1.32627688172043</v>
      </c>
      <c r="I12" s="47">
        <f>+IFERROR(I11/H11-1,"nm")</f>
        <v>-9.67788530983682E-3</v>
      </c>
      <c r="J12" s="47">
        <f t="shared" ref="J12:N12" si="17">+IFERROR(J11/I11-1,"nm")</f>
        <v>4.8999999999999932E-2</v>
      </c>
      <c r="K12" s="47">
        <f t="shared" si="17"/>
        <v>4.899999999999971E-2</v>
      </c>
      <c r="L12" s="47">
        <f t="shared" si="17"/>
        <v>4.8999999999999932E-2</v>
      </c>
      <c r="M12" s="47">
        <f t="shared" si="17"/>
        <v>4.899999999999971E-2</v>
      </c>
      <c r="N12" s="47">
        <f t="shared" si="17"/>
        <v>4.8999999999999932E-2</v>
      </c>
    </row>
    <row r="13" spans="1:15" x14ac:dyDescent="0.2">
      <c r="A13" s="42" t="s">
        <v>131</v>
      </c>
      <c r="B13" s="47">
        <f>+IFERROR(B11/B$3,"nm")</f>
        <v>0.13832881278389594</v>
      </c>
      <c r="C13" s="47">
        <f t="shared" ref="C13:N13" si="18">+IFERROR(C11/C$3,"nm")</f>
        <v>0.14337781072399308</v>
      </c>
      <c r="D13" s="47">
        <f t="shared" si="18"/>
        <v>0.14395924308588065</v>
      </c>
      <c r="E13" s="47">
        <f t="shared" si="18"/>
        <v>0.12031211363573921</v>
      </c>
      <c r="F13" s="47">
        <f t="shared" si="18"/>
        <v>0.12398701331901731</v>
      </c>
      <c r="G13" s="47">
        <f t="shared" si="18"/>
        <v>7.9565810229126011E-2</v>
      </c>
      <c r="H13" s="47">
        <f t="shared" si="18"/>
        <v>0.1554402981723472</v>
      </c>
      <c r="I13" s="47">
        <f t="shared" si="18"/>
        <v>0.14677799186469706</v>
      </c>
      <c r="J13" s="47">
        <f t="shared" si="18"/>
        <v>0.14677799186469709</v>
      </c>
      <c r="K13" s="47">
        <f t="shared" si="18"/>
        <v>0.14677799186469706</v>
      </c>
      <c r="L13" s="47">
        <f t="shared" si="18"/>
        <v>0.14677799186469706</v>
      </c>
      <c r="M13" s="47">
        <f t="shared" si="18"/>
        <v>0.14677799186469703</v>
      </c>
      <c r="N13" s="47">
        <f t="shared" si="18"/>
        <v>0.14677799186469706</v>
      </c>
    </row>
    <row r="14" spans="1:15" x14ac:dyDescent="0.2">
      <c r="A14" s="41" t="s">
        <v>135</v>
      </c>
      <c r="B14" s="9">
        <f>[1]Historicals!B178</f>
        <v>963</v>
      </c>
      <c r="C14" s="9">
        <f>[1]Historicals!C178</f>
        <v>1143</v>
      </c>
      <c r="D14" s="9">
        <f>[1]Historicals!D178</f>
        <v>1105</v>
      </c>
      <c r="E14" s="9">
        <f>[1]Historicals!E178</f>
        <v>1028</v>
      </c>
      <c r="F14" s="9">
        <f>[1]Historicals!F178</f>
        <v>1119</v>
      </c>
      <c r="G14" s="9">
        <f>[1]Historicals!G178</f>
        <v>1086</v>
      </c>
      <c r="H14" s="9">
        <f>[1]Historicals!H178</f>
        <v>695</v>
      </c>
      <c r="I14" s="9">
        <f>[1]Historicals!I178</f>
        <v>758</v>
      </c>
      <c r="J14" s="9">
        <f>J3*J16</f>
        <v>795.14199999999994</v>
      </c>
      <c r="K14" s="9">
        <f t="shared" ref="K14:N14" si="19">K3*K16</f>
        <v>834.10395799999992</v>
      </c>
      <c r="L14" s="9">
        <f t="shared" si="19"/>
        <v>874.97505194199982</v>
      </c>
      <c r="M14" s="9">
        <f t="shared" si="19"/>
        <v>917.84882948715767</v>
      </c>
      <c r="N14" s="9">
        <f t="shared" si="19"/>
        <v>962.82342213202844</v>
      </c>
      <c r="O14" t="s">
        <v>146</v>
      </c>
    </row>
    <row r="15" spans="1:15" x14ac:dyDescent="0.2">
      <c r="A15" s="42" t="s">
        <v>129</v>
      </c>
      <c r="B15" s="47" t="str">
        <f t="shared" ref="B15:H15" si="20">+IFERROR(B14/A14-1,"nm")</f>
        <v>nm</v>
      </c>
      <c r="C15" s="47">
        <f t="shared" si="20"/>
        <v>0.18691588785046731</v>
      </c>
      <c r="D15" s="47">
        <f t="shared" si="20"/>
        <v>-3.3245844269466307E-2</v>
      </c>
      <c r="E15" s="47">
        <f t="shared" si="20"/>
        <v>-6.9683257918552011E-2</v>
      </c>
      <c r="F15" s="47">
        <f t="shared" si="20"/>
        <v>8.8521400778210024E-2</v>
      </c>
      <c r="G15" s="47">
        <f t="shared" si="20"/>
        <v>-2.9490616621983934E-2</v>
      </c>
      <c r="H15" s="47">
        <f t="shared" si="20"/>
        <v>-0.36003683241252304</v>
      </c>
      <c r="I15" s="47">
        <f>+IFERROR(I14/H14-1,"nm")</f>
        <v>9.0647482014388547E-2</v>
      </c>
      <c r="J15" s="47">
        <f t="shared" ref="J15:N15" si="21">+IFERROR(J14/I14-1,"nm")</f>
        <v>4.8999999999999932E-2</v>
      </c>
      <c r="K15" s="47">
        <f t="shared" si="21"/>
        <v>4.8999999999999932E-2</v>
      </c>
      <c r="L15" s="47">
        <f t="shared" si="21"/>
        <v>4.8999999999999932E-2</v>
      </c>
      <c r="M15" s="47">
        <f t="shared" si="21"/>
        <v>4.8999999999999932E-2</v>
      </c>
      <c r="N15" s="47">
        <f t="shared" si="21"/>
        <v>4.9000000000000155E-2</v>
      </c>
    </row>
    <row r="16" spans="1:15" x14ac:dyDescent="0.2">
      <c r="A16" s="42" t="s">
        <v>133</v>
      </c>
      <c r="B16" s="47">
        <f>+IFERROR(B14/B$3,"nm")</f>
        <v>3.146955981830659E-2</v>
      </c>
      <c r="C16" s="47">
        <f t="shared" ref="C16:I16" si="22">+IFERROR(C14/C$3,"nm")</f>
        <v>3.5303928836174947E-2</v>
      </c>
      <c r="D16" s="47">
        <f t="shared" si="22"/>
        <v>3.2168850072780204E-2</v>
      </c>
      <c r="E16" s="47">
        <f t="shared" si="22"/>
        <v>2.8244086051048164E-2</v>
      </c>
      <c r="F16" s="47">
        <f t="shared" si="22"/>
        <v>2.8606488227624818E-2</v>
      </c>
      <c r="G16" s="47">
        <f t="shared" si="22"/>
        <v>2.9035104136031869E-2</v>
      </c>
      <c r="H16" s="47">
        <f t="shared" si="22"/>
        <v>1.5604652207104046E-2</v>
      </c>
      <c r="I16" s="47">
        <f t="shared" si="22"/>
        <v>1.6227788482123744E-2</v>
      </c>
      <c r="J16" s="47">
        <f>I16</f>
        <v>1.6227788482123744E-2</v>
      </c>
      <c r="K16" s="47">
        <f t="shared" ref="K16:N16" si="23">J16</f>
        <v>1.6227788482123744E-2</v>
      </c>
      <c r="L16" s="47">
        <f t="shared" si="23"/>
        <v>1.6227788482123744E-2</v>
      </c>
      <c r="M16" s="47">
        <f t="shared" si="23"/>
        <v>1.6227788482123744E-2</v>
      </c>
      <c r="N16" s="47">
        <f t="shared" si="23"/>
        <v>1.6227788482123744E-2</v>
      </c>
    </row>
    <row r="17" spans="1:15" x14ac:dyDescent="0.2">
      <c r="A17" s="9" t="s">
        <v>141</v>
      </c>
      <c r="B17" s="9">
        <f>[1]Historicals!B166</f>
        <v>3011</v>
      </c>
      <c r="C17" s="9">
        <f>[1]Historicals!C166</f>
        <v>3520</v>
      </c>
      <c r="D17" s="9">
        <f>[1]Historicals!D166</f>
        <v>3989</v>
      </c>
      <c r="E17" s="9">
        <f>[1]Historicals!E166</f>
        <v>4454</v>
      </c>
      <c r="F17" s="9">
        <f>[1]Historicals!F166</f>
        <v>4744</v>
      </c>
      <c r="G17" s="9">
        <f>[1]Historicals!G166</f>
        <v>4866</v>
      </c>
      <c r="H17" s="9">
        <f>[1]Historicals!H166</f>
        <v>4904</v>
      </c>
      <c r="I17" s="9">
        <f>[1]Historicals!I166</f>
        <v>4791</v>
      </c>
      <c r="J17" s="48">
        <f>J3*J19</f>
        <v>5025.759</v>
      </c>
      <c r="K17" s="48">
        <f t="shared" ref="K17:N17" si="24">K3*K19</f>
        <v>5272.0211909999989</v>
      </c>
      <c r="L17" s="48">
        <f t="shared" si="24"/>
        <v>5530.3502293589981</v>
      </c>
      <c r="M17" s="48">
        <f t="shared" si="24"/>
        <v>5801.3373905975886</v>
      </c>
      <c r="N17" s="48">
        <f t="shared" si="24"/>
        <v>6085.6029227368708</v>
      </c>
      <c r="O17" t="s">
        <v>147</v>
      </c>
    </row>
    <row r="18" spans="1:15" x14ac:dyDescent="0.2">
      <c r="A18" s="42" t="s">
        <v>129</v>
      </c>
      <c r="B18" s="47" t="str">
        <f t="shared" ref="B18:H18" si="25">+IFERROR(B17/A17-1,"nm")</f>
        <v>nm</v>
      </c>
      <c r="C18" s="47">
        <f t="shared" si="25"/>
        <v>0.16904682829624718</v>
      </c>
      <c r="D18" s="47">
        <f t="shared" si="25"/>
        <v>0.13323863636363642</v>
      </c>
      <c r="E18" s="47">
        <f t="shared" si="25"/>
        <v>0.11657056906492858</v>
      </c>
      <c r="F18" s="47">
        <f t="shared" si="25"/>
        <v>6.5110013471037176E-2</v>
      </c>
      <c r="G18" s="47">
        <f t="shared" si="25"/>
        <v>2.5716694772343951E-2</v>
      </c>
      <c r="H18" s="47">
        <f t="shared" si="25"/>
        <v>7.8092889436909285E-3</v>
      </c>
      <c r="I18" s="47">
        <f>+IFERROR(I17/H17-1,"nm")</f>
        <v>-2.3042414355628038E-2</v>
      </c>
      <c r="J18" s="47">
        <f t="shared" ref="J18:N18" si="26">+IFERROR(J17/I17-1,"nm")</f>
        <v>4.8999999999999932E-2</v>
      </c>
      <c r="K18" s="47">
        <f t="shared" si="26"/>
        <v>4.899999999999971E-2</v>
      </c>
      <c r="L18" s="47">
        <f t="shared" si="26"/>
        <v>4.8999999999999932E-2</v>
      </c>
      <c r="M18" s="47">
        <f t="shared" si="26"/>
        <v>4.8999999999999932E-2</v>
      </c>
      <c r="N18" s="47">
        <f t="shared" si="26"/>
        <v>4.9000000000000155E-2</v>
      </c>
    </row>
    <row r="19" spans="1:15" x14ac:dyDescent="0.2">
      <c r="A19" s="42" t="s">
        <v>133</v>
      </c>
      <c r="B19" s="47">
        <f>+IFERROR(B17/B$3,"nm")</f>
        <v>9.8395477271984569E-2</v>
      </c>
      <c r="C19" s="47">
        <f t="shared" ref="C19:I19" si="27">+IFERROR(C17/C$3,"nm")</f>
        <v>0.10872251050160613</v>
      </c>
      <c r="D19" s="47">
        <f t="shared" si="27"/>
        <v>0.11612809315866085</v>
      </c>
      <c r="E19" s="47">
        <f t="shared" si="27"/>
        <v>0.12237272302662307</v>
      </c>
      <c r="F19" s="47">
        <f t="shared" si="27"/>
        <v>0.1212771940588491</v>
      </c>
      <c r="G19" s="47">
        <f t="shared" si="27"/>
        <v>0.13009651632222013</v>
      </c>
      <c r="H19" s="47">
        <f t="shared" si="27"/>
        <v>0.11010822219228523</v>
      </c>
      <c r="I19" s="47">
        <f t="shared" si="27"/>
        <v>0.10256904303147078</v>
      </c>
      <c r="J19" s="47">
        <f>I19</f>
        <v>0.10256904303147078</v>
      </c>
      <c r="K19" s="47">
        <f t="shared" ref="K19:N19" si="28">J19</f>
        <v>0.10256904303147078</v>
      </c>
      <c r="L19" s="47">
        <f t="shared" si="28"/>
        <v>0.10256904303147078</v>
      </c>
      <c r="M19" s="47">
        <f t="shared" si="28"/>
        <v>0.10256904303147078</v>
      </c>
      <c r="N19" s="47">
        <f t="shared" si="28"/>
        <v>0.10256904303147078</v>
      </c>
    </row>
    <row r="20" spans="1:15" x14ac:dyDescent="0.2">
      <c r="A20" s="43" t="str">
        <f>+[2]Historicals!A114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">
      <c r="A21" s="9" t="s">
        <v>136</v>
      </c>
      <c r="B21" s="9">
        <f>[1]Historicals!B114</f>
        <v>13740</v>
      </c>
      <c r="C21" s="9">
        <f>[1]Historicals!C114</f>
        <v>14764</v>
      </c>
      <c r="D21" s="9">
        <f>[1]Historicals!D114</f>
        <v>15216</v>
      </c>
      <c r="E21" s="9">
        <f>[1]Historicals!E114</f>
        <v>14855</v>
      </c>
      <c r="F21" s="9">
        <f>[1]Historicals!F114</f>
        <v>15902</v>
      </c>
      <c r="G21" s="9">
        <f>[1]Historicals!G114</f>
        <v>14484</v>
      </c>
      <c r="H21" s="9">
        <f>[1]Historicals!H114</f>
        <v>17179</v>
      </c>
      <c r="I21" s="9">
        <f>[1]Historicals!I114</f>
        <v>18353</v>
      </c>
      <c r="J21" s="9">
        <f>I21*(1+J22)</f>
        <v>19252.296999999999</v>
      </c>
      <c r="K21" s="9">
        <f t="shared" ref="K21:N21" si="29">J21*(1+K22)</f>
        <v>20195.659552999998</v>
      </c>
      <c r="L21" s="9">
        <f t="shared" si="29"/>
        <v>21185.246871096995</v>
      </c>
      <c r="M21" s="9">
        <f t="shared" si="29"/>
        <v>22223.323967780747</v>
      </c>
      <c r="N21" s="9">
        <f t="shared" si="29"/>
        <v>23312.266842202003</v>
      </c>
    </row>
    <row r="22" spans="1:15" x14ac:dyDescent="0.2">
      <c r="A22" s="44" t="s">
        <v>129</v>
      </c>
      <c r="B22" s="47" t="str">
        <f t="shared" ref="B22:H22" si="30">+IFERROR(B21/A21-1,"nm")</f>
        <v>nm</v>
      </c>
      <c r="C22" s="47">
        <f t="shared" si="30"/>
        <v>7.4526928675400228E-2</v>
      </c>
      <c r="D22" s="47">
        <f t="shared" si="30"/>
        <v>3.0615009482525046E-2</v>
      </c>
      <c r="E22" s="47">
        <f t="shared" si="30"/>
        <v>-2.372502628811779E-2</v>
      </c>
      <c r="F22" s="47">
        <f t="shared" si="30"/>
        <v>7.0481319421070276E-2</v>
      </c>
      <c r="G22" s="47">
        <f t="shared" si="30"/>
        <v>-8.9171173437303519E-2</v>
      </c>
      <c r="H22" s="47">
        <f t="shared" si="30"/>
        <v>0.18606738470035911</v>
      </c>
      <c r="I22" s="47">
        <f>+IFERROR(I21/H21-1,"nm")</f>
        <v>6.8339251411607238E-2</v>
      </c>
      <c r="J22" s="47">
        <v>4.9000000000000002E-2</v>
      </c>
      <c r="K22" s="47">
        <f t="shared" ref="K22:N22" si="31">J22</f>
        <v>4.9000000000000002E-2</v>
      </c>
      <c r="L22" s="47">
        <f t="shared" si="31"/>
        <v>4.9000000000000002E-2</v>
      </c>
      <c r="M22" s="47">
        <f t="shared" si="31"/>
        <v>4.9000000000000002E-2</v>
      </c>
      <c r="N22" s="47">
        <f t="shared" si="31"/>
        <v>4.9000000000000002E-2</v>
      </c>
    </row>
    <row r="23" spans="1:15" x14ac:dyDescent="0.2">
      <c r="A23" s="45" t="s">
        <v>113</v>
      </c>
      <c r="B23" s="3">
        <f>[1]Historicals!B115</f>
        <v>8506</v>
      </c>
      <c r="C23" s="3">
        <f>[1]Historicals!C115</f>
        <v>9299</v>
      </c>
      <c r="D23" s="3">
        <f>[1]Historicals!D115</f>
        <v>9684</v>
      </c>
      <c r="E23" s="3">
        <f>[1]Historicals!E115</f>
        <v>9322</v>
      </c>
      <c r="F23" s="3">
        <f>[1]Historicals!F115</f>
        <v>10045</v>
      </c>
      <c r="G23" s="3">
        <f>[1]Historicals!G115</f>
        <v>9329</v>
      </c>
      <c r="H23" s="3">
        <f>[1]Historicals!H115</f>
        <v>11644</v>
      </c>
      <c r="I23" s="3">
        <f>[1]Historicals!I115</f>
        <v>12228</v>
      </c>
      <c r="J23" s="3">
        <f>+I23*(1+J24)</f>
        <v>12827.171999999999</v>
      </c>
      <c r="K23" s="3">
        <f t="shared" ref="K23:N23" si="32">+J23*(1+K24)</f>
        <v>13455.703427999997</v>
      </c>
      <c r="L23" s="3">
        <f t="shared" si="32"/>
        <v>14115.032895971995</v>
      </c>
      <c r="M23" s="3">
        <f t="shared" si="32"/>
        <v>14806.669507874622</v>
      </c>
      <c r="N23" s="3">
        <f t="shared" si="32"/>
        <v>15532.196313760476</v>
      </c>
    </row>
    <row r="24" spans="1:15" x14ac:dyDescent="0.2">
      <c r="A24" s="44" t="s">
        <v>129</v>
      </c>
      <c r="B24" s="47" t="str">
        <f t="shared" ref="B24:H24" si="33">+IFERROR(B23/A23-1,"nm")</f>
        <v>nm</v>
      </c>
      <c r="C24" s="47">
        <f t="shared" si="33"/>
        <v>9.3228309428638578E-2</v>
      </c>
      <c r="D24" s="47">
        <f t="shared" si="33"/>
        <v>4.1402301322722934E-2</v>
      </c>
      <c r="E24" s="47">
        <f t="shared" si="33"/>
        <v>-3.7381247418422192E-2</v>
      </c>
      <c r="F24" s="47">
        <f t="shared" si="33"/>
        <v>7.755846384895948E-2</v>
      </c>
      <c r="G24" s="47">
        <f t="shared" si="33"/>
        <v>-7.1279243404678949E-2</v>
      </c>
      <c r="H24" s="47">
        <f t="shared" si="33"/>
        <v>0.24815092721620746</v>
      </c>
      <c r="I24" s="47">
        <f>+IFERROR(I23/H23-1,"nm")</f>
        <v>5.0154586052902683E-2</v>
      </c>
      <c r="J24" s="47">
        <v>4.9000000000000002E-2</v>
      </c>
      <c r="K24" s="47">
        <v>4.9000000000000002E-2</v>
      </c>
      <c r="L24" s="47">
        <v>4.9000000000000002E-2</v>
      </c>
      <c r="M24" s="47">
        <v>4.9000000000000002E-2</v>
      </c>
      <c r="N24" s="47">
        <v>4.9000000000000002E-2</v>
      </c>
    </row>
    <row r="25" spans="1:15" x14ac:dyDescent="0.2">
      <c r="A25" s="44" t="s">
        <v>137</v>
      </c>
      <c r="B25" s="47">
        <f>[1]Historicals!B195</f>
        <v>0.14000000000000001</v>
      </c>
      <c r="C25" s="47">
        <f>[1]Historicals!C195</f>
        <v>0.1</v>
      </c>
      <c r="D25" s="47">
        <f>[1]Historicals!D195</f>
        <v>0.04</v>
      </c>
      <c r="E25" s="47">
        <f>[1]Historicals!E195</f>
        <v>-0.04</v>
      </c>
      <c r="F25" s="47">
        <f>[1]Historicals!F195</f>
        <v>0.08</v>
      </c>
      <c r="G25" s="47">
        <f>[1]Historicals!G195</f>
        <v>-7.0000000000000007E-2</v>
      </c>
      <c r="H25" s="47">
        <f>[1]Historicals!H195</f>
        <v>0.25</v>
      </c>
      <c r="I25" s="47">
        <f>[1]Historicals!I195</f>
        <v>0.05</v>
      </c>
      <c r="J25" s="49">
        <f>I25</f>
        <v>0.05</v>
      </c>
      <c r="K25" s="49">
        <f t="shared" ref="K25:N26" si="34">+J25</f>
        <v>0.05</v>
      </c>
      <c r="L25" s="49">
        <f t="shared" si="34"/>
        <v>0.05</v>
      </c>
      <c r="M25" s="49">
        <f t="shared" si="34"/>
        <v>0.05</v>
      </c>
      <c r="N25" s="49">
        <f t="shared" si="34"/>
        <v>0.05</v>
      </c>
    </row>
    <row r="26" spans="1:15" x14ac:dyDescent="0.2">
      <c r="A26" s="44" t="s">
        <v>138</v>
      </c>
      <c r="B26" s="47" t="str">
        <f t="shared" ref="B26:H26" si="35">+IFERROR(B24-B25,"nm")</f>
        <v>nm</v>
      </c>
      <c r="C26" s="47">
        <f t="shared" si="35"/>
        <v>-6.7716905713614273E-3</v>
      </c>
      <c r="D26" s="47">
        <f t="shared" si="35"/>
        <v>1.4023013227229333E-3</v>
      </c>
      <c r="E26" s="47">
        <f t="shared" si="35"/>
        <v>2.6187525815778087E-3</v>
      </c>
      <c r="F26" s="47">
        <f t="shared" si="35"/>
        <v>-2.4415361510405215E-3</v>
      </c>
      <c r="G26" s="47">
        <f t="shared" si="35"/>
        <v>-1.2792434046789425E-3</v>
      </c>
      <c r="H26" s="47">
        <f t="shared" si="35"/>
        <v>-1.849072783792538E-3</v>
      </c>
      <c r="I26" s="47">
        <f>+IFERROR(I24-I25,"nm")</f>
        <v>1.5458605290268046E-4</v>
      </c>
      <c r="J26" s="49">
        <f>I26</f>
        <v>1.5458605290268046E-4</v>
      </c>
      <c r="K26" s="49">
        <f t="shared" si="34"/>
        <v>1.5458605290268046E-4</v>
      </c>
      <c r="L26" s="49">
        <f t="shared" si="34"/>
        <v>1.5458605290268046E-4</v>
      </c>
      <c r="M26" s="49">
        <f t="shared" si="34"/>
        <v>1.5458605290268046E-4</v>
      </c>
      <c r="N26" s="49">
        <f t="shared" si="34"/>
        <v>1.5458605290268046E-4</v>
      </c>
    </row>
    <row r="27" spans="1:15" x14ac:dyDescent="0.2">
      <c r="A27" s="45" t="s">
        <v>114</v>
      </c>
      <c r="B27" s="9">
        <f>[1]Historicals!B116</f>
        <v>4410</v>
      </c>
      <c r="C27" s="9">
        <f>[1]Historicals!C116</f>
        <v>4746</v>
      </c>
      <c r="D27" s="9">
        <f>[1]Historicals!D116</f>
        <v>4866</v>
      </c>
      <c r="E27" s="9">
        <f>[1]Historicals!E116</f>
        <v>4938</v>
      </c>
      <c r="F27" s="9">
        <f>[1]Historicals!F116</f>
        <v>5260</v>
      </c>
      <c r="G27" s="9">
        <f>[1]Historicals!G116</f>
        <v>4639</v>
      </c>
      <c r="H27" s="9">
        <f>[1]Historicals!H116</f>
        <v>5028</v>
      </c>
      <c r="I27" s="9">
        <f>[1]Historicals!I116</f>
        <v>5492</v>
      </c>
      <c r="J27" s="3">
        <f>+I27*(1+J28)</f>
        <v>5761.1079999999993</v>
      </c>
      <c r="K27" s="3">
        <f t="shared" ref="K27:N27" si="36">+J27*(1+K28)</f>
        <v>6043.4022919999989</v>
      </c>
      <c r="L27" s="3">
        <f t="shared" si="36"/>
        <v>6339.5290043079985</v>
      </c>
      <c r="M27" s="3">
        <f t="shared" si="36"/>
        <v>6650.1659255190898</v>
      </c>
      <c r="N27" s="3">
        <f t="shared" si="36"/>
        <v>6976.024055869525</v>
      </c>
    </row>
    <row r="28" spans="1:15" x14ac:dyDescent="0.2">
      <c r="A28" s="44" t="s">
        <v>129</v>
      </c>
      <c r="B28" s="47" t="str">
        <f t="shared" ref="B28:H28" si="37">+IFERROR(B27/A27-1,"nm")</f>
        <v>nm</v>
      </c>
      <c r="C28" s="47">
        <f t="shared" si="37"/>
        <v>7.6190476190476142E-2</v>
      </c>
      <c r="D28" s="47">
        <f t="shared" si="37"/>
        <v>2.5284450063211228E-2</v>
      </c>
      <c r="E28" s="47">
        <f t="shared" si="37"/>
        <v>1.4796547472256449E-2</v>
      </c>
      <c r="F28" s="47">
        <f t="shared" si="37"/>
        <v>6.5208586472256025E-2</v>
      </c>
      <c r="G28" s="47">
        <f t="shared" si="37"/>
        <v>-0.11806083650190113</v>
      </c>
      <c r="H28" s="47">
        <f t="shared" si="37"/>
        <v>8.3854278939426541E-2</v>
      </c>
      <c r="I28" s="47">
        <f>+IFERROR(I27/H27-1,"nm")</f>
        <v>9.2283214001591007E-2</v>
      </c>
      <c r="J28" s="47">
        <v>4.9000000000000002E-2</v>
      </c>
      <c r="K28" s="47">
        <v>4.9000000000000002E-2</v>
      </c>
      <c r="L28" s="47">
        <v>4.9000000000000002E-2</v>
      </c>
      <c r="M28" s="47">
        <v>4.9000000000000002E-2</v>
      </c>
      <c r="N28" s="47">
        <v>4.9000000000000002E-2</v>
      </c>
    </row>
    <row r="29" spans="1:15" x14ac:dyDescent="0.2">
      <c r="A29" s="44" t="s">
        <v>137</v>
      </c>
      <c r="B29" s="47">
        <f>[1]Historicals!B196</f>
        <v>0.12</v>
      </c>
      <c r="C29" s="47">
        <f>[1]Historicals!C196</f>
        <v>0.08</v>
      </c>
      <c r="D29" s="47">
        <f>[1]Historicals!D196</f>
        <v>0.03</v>
      </c>
      <c r="E29" s="47">
        <f>[1]Historicals!E196</f>
        <v>0.01</v>
      </c>
      <c r="F29" s="47">
        <f>[1]Historicals!F196</f>
        <v>7.0000000000000007E-2</v>
      </c>
      <c r="G29" s="47">
        <f>[1]Historicals!G196</f>
        <v>-0.12</v>
      </c>
      <c r="H29" s="47">
        <f>[1]Historicals!H196</f>
        <v>0.08</v>
      </c>
      <c r="I29" s="47">
        <f>[1]Historicals!I196</f>
        <v>0.09</v>
      </c>
      <c r="J29" s="49">
        <f>I29</f>
        <v>0.09</v>
      </c>
      <c r="K29" s="49">
        <f t="shared" ref="K29:N30" si="38">+J29</f>
        <v>0.09</v>
      </c>
      <c r="L29" s="49">
        <f t="shared" si="38"/>
        <v>0.09</v>
      </c>
      <c r="M29" s="49">
        <f t="shared" si="38"/>
        <v>0.09</v>
      </c>
      <c r="N29" s="49">
        <f t="shared" si="38"/>
        <v>0.09</v>
      </c>
    </row>
    <row r="30" spans="1:15" x14ac:dyDescent="0.2">
      <c r="A30" s="44" t="s">
        <v>138</v>
      </c>
      <c r="B30" s="47" t="str">
        <f t="shared" ref="B30:H30" si="39">+IFERROR(B28-B29,"nm")</f>
        <v>nm</v>
      </c>
      <c r="C30" s="47">
        <f t="shared" si="39"/>
        <v>-3.8095238095238598E-3</v>
      </c>
      <c r="D30" s="47">
        <f t="shared" si="39"/>
        <v>-4.715549936788771E-3</v>
      </c>
      <c r="E30" s="47">
        <f t="shared" si="39"/>
        <v>4.7965474722564492E-3</v>
      </c>
      <c r="F30" s="47">
        <f t="shared" si="39"/>
        <v>-4.7914135277439818E-3</v>
      </c>
      <c r="G30" s="47">
        <f t="shared" si="39"/>
        <v>1.9391634980988615E-3</v>
      </c>
      <c r="H30" s="47">
        <f t="shared" si="39"/>
        <v>3.8542789394265392E-3</v>
      </c>
      <c r="I30" s="47">
        <f>+IFERROR(I28-I29,"nm")</f>
        <v>2.2832140015910107E-3</v>
      </c>
      <c r="J30" s="49">
        <f>I30</f>
        <v>2.2832140015910107E-3</v>
      </c>
      <c r="K30" s="49">
        <f t="shared" si="38"/>
        <v>2.2832140015910107E-3</v>
      </c>
      <c r="L30" s="49">
        <f t="shared" si="38"/>
        <v>2.2832140015910107E-3</v>
      </c>
      <c r="M30" s="49">
        <f t="shared" si="38"/>
        <v>2.2832140015910107E-3</v>
      </c>
      <c r="N30" s="49">
        <f t="shared" si="38"/>
        <v>2.2832140015910107E-3</v>
      </c>
    </row>
    <row r="31" spans="1:15" x14ac:dyDescent="0.2">
      <c r="A31" s="45" t="s">
        <v>115</v>
      </c>
      <c r="B31" s="9">
        <f>[1]Historicals!B117</f>
        <v>824</v>
      </c>
      <c r="C31" s="9">
        <f>[1]Historicals!C117</f>
        <v>719</v>
      </c>
      <c r="D31" s="9">
        <f>[1]Historicals!D117</f>
        <v>646</v>
      </c>
      <c r="E31" s="9">
        <f>[1]Historicals!E117</f>
        <v>595</v>
      </c>
      <c r="F31" s="9">
        <f>[1]Historicals!F117</f>
        <v>597</v>
      </c>
      <c r="G31" s="9">
        <f>[1]Historicals!G117</f>
        <v>516</v>
      </c>
      <c r="H31" s="9">
        <f>[1]Historicals!H117</f>
        <v>507</v>
      </c>
      <c r="I31" s="9">
        <f>[1]Historicals!I117</f>
        <v>633</v>
      </c>
      <c r="J31" s="3">
        <f>+I31*(1+J32)</f>
        <v>664.01699999999994</v>
      </c>
      <c r="K31" s="3">
        <f t="shared" ref="K31:N31" si="40">+J31*(1+K32)</f>
        <v>696.55383299999994</v>
      </c>
      <c r="L31" s="3">
        <f t="shared" si="40"/>
        <v>730.68497081699991</v>
      </c>
      <c r="M31" s="3">
        <f t="shared" si="40"/>
        <v>766.48853438703281</v>
      </c>
      <c r="N31" s="3">
        <f t="shared" si="40"/>
        <v>804.04647257199736</v>
      </c>
    </row>
    <row r="32" spans="1:15" x14ac:dyDescent="0.2">
      <c r="A32" s="44" t="s">
        <v>129</v>
      </c>
      <c r="B32" s="47" t="str">
        <f t="shared" ref="B32:H32" si="41">+IFERROR(B31/A31-1,"nm")</f>
        <v>nm</v>
      </c>
      <c r="C32" s="47">
        <f t="shared" si="41"/>
        <v>-0.12742718446601942</v>
      </c>
      <c r="D32" s="47">
        <f t="shared" si="41"/>
        <v>-0.10152990264255912</v>
      </c>
      <c r="E32" s="47">
        <f t="shared" si="41"/>
        <v>-7.8947368421052655E-2</v>
      </c>
      <c r="F32" s="47">
        <f t="shared" si="41"/>
        <v>3.3613445378151141E-3</v>
      </c>
      <c r="G32" s="47">
        <f t="shared" si="41"/>
        <v>-0.13567839195979903</v>
      </c>
      <c r="H32" s="47">
        <f t="shared" si="41"/>
        <v>-1.744186046511631E-2</v>
      </c>
      <c r="I32" s="47">
        <f>+IFERROR(I31/H31-1,"nm")</f>
        <v>0.24852071005917153</v>
      </c>
      <c r="J32" s="47">
        <v>4.9000000000000002E-2</v>
      </c>
      <c r="K32" s="47">
        <v>4.9000000000000002E-2</v>
      </c>
      <c r="L32" s="47">
        <v>4.9000000000000002E-2</v>
      </c>
      <c r="M32" s="47">
        <v>4.9000000000000002E-2</v>
      </c>
      <c r="N32" s="47">
        <v>4.9000000000000002E-2</v>
      </c>
    </row>
    <row r="33" spans="1:14" x14ac:dyDescent="0.2">
      <c r="A33" s="44" t="s">
        <v>137</v>
      </c>
      <c r="B33" s="47">
        <f>[1]Historicals!B197</f>
        <v>-0.05</v>
      </c>
      <c r="C33" s="47">
        <f>[1]Historicals!C197</f>
        <v>-0.13</v>
      </c>
      <c r="D33" s="47">
        <f>[1]Historicals!D197</f>
        <v>-0.1</v>
      </c>
      <c r="E33" s="47">
        <f>[1]Historicals!E197</f>
        <v>-0.08</v>
      </c>
      <c r="F33" s="47">
        <f>[1]Historicals!F197</f>
        <v>0</v>
      </c>
      <c r="G33" s="47">
        <f>[1]Historicals!G197</f>
        <v>-0.14000000000000001</v>
      </c>
      <c r="H33" s="47">
        <f>[1]Historicals!H197</f>
        <v>-0.02</v>
      </c>
      <c r="I33" s="47">
        <f>[1]Historicals!I197</f>
        <v>0.25</v>
      </c>
      <c r="J33" s="49">
        <f>+I33</f>
        <v>0.25</v>
      </c>
      <c r="K33" s="49">
        <f t="shared" ref="K33:N34" si="42">+J33</f>
        <v>0.25</v>
      </c>
      <c r="L33" s="49">
        <f t="shared" si="42"/>
        <v>0.25</v>
      </c>
      <c r="M33" s="49">
        <f t="shared" si="42"/>
        <v>0.25</v>
      </c>
      <c r="N33" s="49">
        <f t="shared" si="42"/>
        <v>0.25</v>
      </c>
    </row>
    <row r="34" spans="1:14" x14ac:dyDescent="0.2">
      <c r="A34" s="44" t="s">
        <v>138</v>
      </c>
      <c r="B34" s="47" t="str">
        <f t="shared" ref="B34:H34" si="43">+IFERROR(B32-B33,"nm")</f>
        <v>nm</v>
      </c>
      <c r="C34" s="47">
        <f t="shared" si="43"/>
        <v>2.572815533980588E-3</v>
      </c>
      <c r="D34" s="47">
        <f t="shared" si="43"/>
        <v>-1.5299026425591167E-3</v>
      </c>
      <c r="E34" s="47">
        <f t="shared" si="43"/>
        <v>1.0526315789473467E-3</v>
      </c>
      <c r="F34" s="47">
        <f t="shared" si="43"/>
        <v>3.3613445378151141E-3</v>
      </c>
      <c r="G34" s="47">
        <f t="shared" si="43"/>
        <v>4.321608040200986E-3</v>
      </c>
      <c r="H34" s="47">
        <f t="shared" si="43"/>
        <v>2.5581395348836904E-3</v>
      </c>
      <c r="I34" s="47">
        <f>+IFERROR(I32-I33,"nm")</f>
        <v>-1.4792899408284654E-3</v>
      </c>
      <c r="J34" s="49">
        <f>I34</f>
        <v>-1.4792899408284654E-3</v>
      </c>
      <c r="K34" s="49">
        <f t="shared" si="42"/>
        <v>-1.4792899408284654E-3</v>
      </c>
      <c r="L34" s="49">
        <f t="shared" si="42"/>
        <v>-1.4792899408284654E-3</v>
      </c>
      <c r="M34" s="49">
        <f t="shared" si="42"/>
        <v>-1.4792899408284654E-3</v>
      </c>
      <c r="N34" s="49">
        <f t="shared" si="42"/>
        <v>-1.4792899408284654E-3</v>
      </c>
    </row>
    <row r="35" spans="1:14" x14ac:dyDescent="0.2">
      <c r="A35" s="9" t="s">
        <v>130</v>
      </c>
      <c r="B35" s="48">
        <f t="shared" ref="B35:H35" si="44">+B42+B38</f>
        <v>3766</v>
      </c>
      <c r="C35" s="48">
        <f t="shared" si="44"/>
        <v>3896</v>
      </c>
      <c r="D35" s="48">
        <f t="shared" si="44"/>
        <v>4015</v>
      </c>
      <c r="E35" s="48">
        <f t="shared" si="44"/>
        <v>3760</v>
      </c>
      <c r="F35" s="48">
        <f t="shared" si="44"/>
        <v>4074</v>
      </c>
      <c r="G35" s="48">
        <f t="shared" si="44"/>
        <v>3047</v>
      </c>
      <c r="H35" s="48">
        <f t="shared" si="44"/>
        <v>5219</v>
      </c>
      <c r="I35" s="48">
        <f>+I42+I38</f>
        <v>5238</v>
      </c>
      <c r="J35" s="48">
        <f>+J21*J37</f>
        <v>5494.6619999999994</v>
      </c>
      <c r="K35" s="48">
        <f t="shared" ref="K35:N35" si="45">+K21*K37</f>
        <v>5763.9004379999988</v>
      </c>
      <c r="L35" s="48">
        <f t="shared" si="45"/>
        <v>6046.331559461998</v>
      </c>
      <c r="M35" s="48">
        <f t="shared" si="45"/>
        <v>6342.6018058756354</v>
      </c>
      <c r="N35" s="48">
        <f t="shared" si="45"/>
        <v>6653.3892943635419</v>
      </c>
    </row>
    <row r="36" spans="1:14" x14ac:dyDescent="0.2">
      <c r="A36" s="46" t="s">
        <v>129</v>
      </c>
      <c r="B36" s="47" t="str">
        <f t="shared" ref="B36:H36" si="46">+IFERROR(B35/A35-1,"nm")</f>
        <v>nm</v>
      </c>
      <c r="C36" s="47">
        <f t="shared" si="46"/>
        <v>3.4519383961763239E-2</v>
      </c>
      <c r="D36" s="47">
        <f t="shared" si="46"/>
        <v>3.0544147843942548E-2</v>
      </c>
      <c r="E36" s="47">
        <f t="shared" si="46"/>
        <v>-6.3511830635118338E-2</v>
      </c>
      <c r="F36" s="47">
        <f t="shared" si="46"/>
        <v>8.3510638297872308E-2</v>
      </c>
      <c r="G36" s="47">
        <f t="shared" si="46"/>
        <v>-0.25208640157093765</v>
      </c>
      <c r="H36" s="47">
        <f t="shared" si="46"/>
        <v>0.71283229405973092</v>
      </c>
      <c r="I36" s="47">
        <f>+IFERROR(I35/H35-1,"nm")</f>
        <v>3.6405441655489312E-3</v>
      </c>
      <c r="J36" s="47">
        <f t="shared" ref="J36:N36" si="47">+IFERROR(J35/I35-1,"nm")</f>
        <v>4.8999999999999932E-2</v>
      </c>
      <c r="K36" s="47">
        <f t="shared" si="47"/>
        <v>4.8999999999999932E-2</v>
      </c>
      <c r="L36" s="47">
        <f t="shared" si="47"/>
        <v>4.8999999999999932E-2</v>
      </c>
      <c r="M36" s="47">
        <f t="shared" si="47"/>
        <v>4.8999999999999932E-2</v>
      </c>
      <c r="N36" s="47">
        <f t="shared" si="47"/>
        <v>4.9000000000000155E-2</v>
      </c>
    </row>
    <row r="37" spans="1:14" x14ac:dyDescent="0.2">
      <c r="A37" s="46" t="s">
        <v>131</v>
      </c>
      <c r="B37" s="47">
        <f t="shared" ref="B37:H37" si="48">+IFERROR(B35/B$21,"nm")</f>
        <v>0.27409024745269289</v>
      </c>
      <c r="C37" s="47">
        <f t="shared" si="48"/>
        <v>0.26388512598211866</v>
      </c>
      <c r="D37" s="47">
        <f t="shared" si="48"/>
        <v>0.26386698212407994</v>
      </c>
      <c r="E37" s="47">
        <f t="shared" si="48"/>
        <v>0.25311342982160889</v>
      </c>
      <c r="F37" s="47">
        <f t="shared" si="48"/>
        <v>0.25619418941013711</v>
      </c>
      <c r="G37" s="47">
        <f t="shared" si="48"/>
        <v>0.2103700635183651</v>
      </c>
      <c r="H37" s="47">
        <f t="shared" si="48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49">+J37</f>
        <v>0.28540293140086087</v>
      </c>
      <c r="L37" s="49">
        <f t="shared" si="49"/>
        <v>0.28540293140086087</v>
      </c>
      <c r="M37" s="49">
        <f t="shared" si="49"/>
        <v>0.28540293140086087</v>
      </c>
      <c r="N37" s="49">
        <f t="shared" si="49"/>
        <v>0.28540293140086087</v>
      </c>
    </row>
    <row r="38" spans="1:14" x14ac:dyDescent="0.2">
      <c r="A38" s="9" t="s">
        <v>132</v>
      </c>
      <c r="B38" s="9">
        <f>[1]Historicals!B181</f>
        <v>121</v>
      </c>
      <c r="C38" s="9">
        <f>[1]Historicals!C181</f>
        <v>133</v>
      </c>
      <c r="D38" s="9">
        <f>[1]Historicals!D181</f>
        <v>140</v>
      </c>
      <c r="E38" s="9">
        <f>[1]Historicals!E181</f>
        <v>160</v>
      </c>
      <c r="F38" s="9">
        <f>[1]Historicals!F181</f>
        <v>149</v>
      </c>
      <c r="G38" s="9">
        <f>[1]Historicals!G181</f>
        <v>148</v>
      </c>
      <c r="H38" s="9">
        <f>[1]Historicals!H181</f>
        <v>130</v>
      </c>
      <c r="I38" s="9">
        <f>[1]Historicals!I181</f>
        <v>124</v>
      </c>
      <c r="J38" s="48">
        <f>+J41*J48</f>
        <v>130.07599999999999</v>
      </c>
      <c r="K38" s="48">
        <f t="shared" ref="K38:N38" si="50">+K41*K48</f>
        <v>136.449724</v>
      </c>
      <c r="L38" s="48">
        <f t="shared" si="50"/>
        <v>143.13576047599997</v>
      </c>
      <c r="M38" s="48">
        <f t="shared" si="50"/>
        <v>150.14941273932396</v>
      </c>
      <c r="N38" s="48">
        <f t="shared" si="50"/>
        <v>157.50673396355083</v>
      </c>
    </row>
    <row r="39" spans="1:14" x14ac:dyDescent="0.2">
      <c r="A39" s="46" t="s">
        <v>129</v>
      </c>
      <c r="B39" s="47" t="str">
        <f t="shared" ref="B39:H39" si="51">+IFERROR(B38/A38-1,"nm")</f>
        <v>nm</v>
      </c>
      <c r="C39" s="47">
        <f t="shared" si="51"/>
        <v>9.9173553719008156E-2</v>
      </c>
      <c r="D39" s="47">
        <f t="shared" si="51"/>
        <v>5.2631578947368363E-2</v>
      </c>
      <c r="E39" s="47">
        <f t="shared" si="51"/>
        <v>0.14285714285714279</v>
      </c>
      <c r="F39" s="47">
        <f t="shared" si="51"/>
        <v>-6.8749999999999978E-2</v>
      </c>
      <c r="G39" s="47">
        <f t="shared" si="51"/>
        <v>-6.7114093959731447E-3</v>
      </c>
      <c r="H39" s="47">
        <f t="shared" si="51"/>
        <v>-0.1216216216216216</v>
      </c>
      <c r="I39" s="47">
        <f>+IFERROR(I38/H38-1,"nm")</f>
        <v>-4.6153846153846101E-2</v>
      </c>
      <c r="J39" s="47">
        <f t="shared" ref="J39:N39" si="52">+IFERROR(J38/I38-1,"nm")</f>
        <v>4.8999999999999932E-2</v>
      </c>
      <c r="K39" s="47">
        <f t="shared" si="52"/>
        <v>4.9000000000000155E-2</v>
      </c>
      <c r="L39" s="47">
        <f t="shared" si="52"/>
        <v>4.899999999999971E-2</v>
      </c>
      <c r="M39" s="47">
        <f t="shared" si="52"/>
        <v>4.8999999999999932E-2</v>
      </c>
      <c r="N39" s="47">
        <f t="shared" si="52"/>
        <v>4.8999999999999932E-2</v>
      </c>
    </row>
    <row r="40" spans="1:14" x14ac:dyDescent="0.2">
      <c r="A40" s="46" t="s">
        <v>133</v>
      </c>
      <c r="B40" s="47">
        <f t="shared" ref="B40:H40" si="53">+IFERROR(B38/B$21,"nm")</f>
        <v>8.8064046579330417E-3</v>
      </c>
      <c r="C40" s="47">
        <f t="shared" si="53"/>
        <v>9.0083988079111346E-3</v>
      </c>
      <c r="D40" s="47">
        <f t="shared" si="53"/>
        <v>9.2008412197686646E-3</v>
      </c>
      <c r="E40" s="47">
        <f t="shared" si="53"/>
        <v>1.0770784247728038E-2</v>
      </c>
      <c r="F40" s="47">
        <f t="shared" si="53"/>
        <v>9.3698905798012821E-3</v>
      </c>
      <c r="G40" s="47">
        <f t="shared" si="53"/>
        <v>1.0218171775752554E-2</v>
      </c>
      <c r="H40" s="47">
        <f t="shared" si="53"/>
        <v>7.5673787764130628E-3</v>
      </c>
      <c r="I40" s="47">
        <f>+IFERROR(I38/I$21,"nm")</f>
        <v>6.7563886013185855E-3</v>
      </c>
      <c r="J40" s="47">
        <f>+IFERROR(J38/J$21,"nm")</f>
        <v>6.7563886013185855E-3</v>
      </c>
      <c r="K40" s="47">
        <f t="shared" ref="K40:N40" si="54">+IFERROR(K38/K$21,"nm")</f>
        <v>6.7563886013185864E-3</v>
      </c>
      <c r="L40" s="47">
        <f t="shared" si="54"/>
        <v>6.7563886013185855E-3</v>
      </c>
      <c r="M40" s="47">
        <f t="shared" si="54"/>
        <v>6.7563886013185855E-3</v>
      </c>
      <c r="N40" s="47">
        <f t="shared" si="54"/>
        <v>6.7563886013185855E-3</v>
      </c>
    </row>
    <row r="41" spans="1:14" x14ac:dyDescent="0.2">
      <c r="A41" s="46" t="s">
        <v>140</v>
      </c>
      <c r="B41" s="47">
        <f t="shared" ref="B41:H41" si="55">+IFERROR(B38/B48,"nm")</f>
        <v>0.19145569620253164</v>
      </c>
      <c r="C41" s="47">
        <f t="shared" si="55"/>
        <v>0.17924528301886791</v>
      </c>
      <c r="D41" s="47">
        <f t="shared" si="55"/>
        <v>0.17094017094017094</v>
      </c>
      <c r="E41" s="47">
        <f t="shared" si="55"/>
        <v>0.18867924528301888</v>
      </c>
      <c r="F41" s="47">
        <f t="shared" si="55"/>
        <v>0.18304668304668303</v>
      </c>
      <c r="G41" s="47">
        <f t="shared" si="55"/>
        <v>0.22945736434108527</v>
      </c>
      <c r="H41" s="47">
        <f t="shared" si="55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56">+J41</f>
        <v>0.19405320813771518</v>
      </c>
      <c r="L41" s="49">
        <f t="shared" si="56"/>
        <v>0.19405320813771518</v>
      </c>
      <c r="M41" s="49">
        <f t="shared" si="56"/>
        <v>0.19405320813771518</v>
      </c>
      <c r="N41" s="49">
        <f t="shared" si="56"/>
        <v>0.19405320813771518</v>
      </c>
    </row>
    <row r="42" spans="1:14" x14ac:dyDescent="0.2">
      <c r="A42" s="9" t="s">
        <v>134</v>
      </c>
      <c r="B42" s="9">
        <f>[1]Historicals!B145</f>
        <v>3645</v>
      </c>
      <c r="C42" s="9">
        <f>[1]Historicals!C145</f>
        <v>3763</v>
      </c>
      <c r="D42" s="9">
        <f>[1]Historicals!D145</f>
        <v>3875</v>
      </c>
      <c r="E42" s="9">
        <f>[1]Historicals!E145</f>
        <v>3600</v>
      </c>
      <c r="F42" s="9">
        <f>[1]Historicals!F145</f>
        <v>3925</v>
      </c>
      <c r="G42" s="9">
        <f>[1]Historicals!G145</f>
        <v>2899</v>
      </c>
      <c r="H42" s="9">
        <f>[1]Historicals!H145</f>
        <v>5089</v>
      </c>
      <c r="I42" s="9">
        <f>[1]Historicals!I145</f>
        <v>5114</v>
      </c>
      <c r="J42" s="9">
        <f>+J35-J38</f>
        <v>5364.5859999999993</v>
      </c>
      <c r="K42" s="9">
        <f t="shared" ref="K42:N42" si="57">+K35-K38</f>
        <v>5627.4507139999987</v>
      </c>
      <c r="L42" s="9">
        <f t="shared" si="57"/>
        <v>5903.1957989859984</v>
      </c>
      <c r="M42" s="9">
        <f t="shared" si="57"/>
        <v>6192.452393136311</v>
      </c>
      <c r="N42" s="9">
        <f t="shared" si="57"/>
        <v>6495.8825603999912</v>
      </c>
    </row>
    <row r="43" spans="1:14" x14ac:dyDescent="0.2">
      <c r="A43" s="46" t="s">
        <v>129</v>
      </c>
      <c r="B43" s="47" t="str">
        <f t="shared" ref="B43:H43" si="58">+IFERROR(B42/A42-1,"nm")</f>
        <v>nm</v>
      </c>
      <c r="C43" s="47">
        <f t="shared" si="58"/>
        <v>3.2373113854595292E-2</v>
      </c>
      <c r="D43" s="47">
        <f t="shared" si="58"/>
        <v>2.9763486579856391E-2</v>
      </c>
      <c r="E43" s="47">
        <f t="shared" si="58"/>
        <v>-7.096774193548383E-2</v>
      </c>
      <c r="F43" s="47">
        <f t="shared" si="58"/>
        <v>9.0277777777777679E-2</v>
      </c>
      <c r="G43" s="47">
        <f t="shared" si="58"/>
        <v>-0.26140127388535028</v>
      </c>
      <c r="H43" s="47">
        <f t="shared" si="58"/>
        <v>0.75543290789927564</v>
      </c>
      <c r="I43" s="47">
        <f>+IFERROR(I42/H42-1,"nm")</f>
        <v>4.9125564943997002E-3</v>
      </c>
      <c r="J43" s="47">
        <f t="shared" ref="J43:N43" si="59">+IFERROR(J42/I42-1,"nm")</f>
        <v>4.8999999999999932E-2</v>
      </c>
      <c r="K43" s="47">
        <f t="shared" si="59"/>
        <v>4.8999999999999932E-2</v>
      </c>
      <c r="L43" s="47">
        <f t="shared" si="59"/>
        <v>4.8999999999999932E-2</v>
      </c>
      <c r="M43" s="47">
        <f t="shared" si="59"/>
        <v>4.899999999999971E-2</v>
      </c>
      <c r="N43" s="47">
        <f t="shared" si="59"/>
        <v>4.9000000000000155E-2</v>
      </c>
    </row>
    <row r="44" spans="1:14" x14ac:dyDescent="0.2">
      <c r="A44" s="46" t="s">
        <v>131</v>
      </c>
      <c r="B44" s="47">
        <f t="shared" ref="B44:H44" si="60">+IFERROR(B42/B$21,"nm")</f>
        <v>0.26528384279475981</v>
      </c>
      <c r="C44" s="47">
        <f t="shared" si="60"/>
        <v>0.25487672717420751</v>
      </c>
      <c r="D44" s="47">
        <f t="shared" si="60"/>
        <v>0.25466614090431128</v>
      </c>
      <c r="E44" s="47">
        <f t="shared" si="60"/>
        <v>0.24234264557388085</v>
      </c>
      <c r="F44" s="47">
        <f t="shared" si="60"/>
        <v>0.2468242988303358</v>
      </c>
      <c r="G44" s="47">
        <f t="shared" si="60"/>
        <v>0.20015189174261253</v>
      </c>
      <c r="H44" s="47">
        <f t="shared" si="60"/>
        <v>0.29623377379358518</v>
      </c>
      <c r="I44" s="47">
        <f>+IFERROR(I42/I$21,"nm")</f>
        <v>0.27864654279954232</v>
      </c>
      <c r="J44" s="47">
        <f t="shared" ref="J44:N44" si="61">+IFERROR(J42/J$21,"nm")</f>
        <v>0.27864654279954232</v>
      </c>
      <c r="K44" s="47">
        <f t="shared" si="61"/>
        <v>0.27864654279954226</v>
      </c>
      <c r="L44" s="47">
        <f t="shared" si="61"/>
        <v>0.27864654279954232</v>
      </c>
      <c r="M44" s="47">
        <f t="shared" si="61"/>
        <v>0.27864654279954226</v>
      </c>
      <c r="N44" s="47">
        <f t="shared" si="61"/>
        <v>0.27864654279954232</v>
      </c>
    </row>
    <row r="45" spans="1:14" x14ac:dyDescent="0.2">
      <c r="A45" s="9" t="s">
        <v>135</v>
      </c>
      <c r="B45" s="9">
        <f>[1]Historicals!B169</f>
        <v>208</v>
      </c>
      <c r="C45" s="9">
        <f>[1]Historicals!C169</f>
        <v>242</v>
      </c>
      <c r="D45" s="9">
        <f>[1]Historicals!D169</f>
        <v>223</v>
      </c>
      <c r="E45" s="9">
        <f>[1]Historicals!E169</f>
        <v>196</v>
      </c>
      <c r="F45" s="9">
        <f>[1]Historicals!F169</f>
        <v>117</v>
      </c>
      <c r="G45" s="9">
        <f>[1]Historicals!G169</f>
        <v>110</v>
      </c>
      <c r="H45" s="9">
        <f>[1]Historicals!H169</f>
        <v>98</v>
      </c>
      <c r="I45" s="9">
        <f>[1]Historicals!I169</f>
        <v>146</v>
      </c>
      <c r="J45" s="48">
        <f>+J21*J47</f>
        <v>153.154</v>
      </c>
      <c r="K45" s="48">
        <f t="shared" ref="K45:N45" si="62">+K21*K47</f>
        <v>160.658546</v>
      </c>
      <c r="L45" s="48">
        <f t="shared" si="62"/>
        <v>168.53081475399998</v>
      </c>
      <c r="M45" s="48">
        <f t="shared" si="62"/>
        <v>176.78882467694598</v>
      </c>
      <c r="N45" s="48">
        <f t="shared" si="62"/>
        <v>185.45147708611631</v>
      </c>
    </row>
    <row r="46" spans="1:14" x14ac:dyDescent="0.2">
      <c r="A46" s="46" t="s">
        <v>129</v>
      </c>
      <c r="B46" s="47" t="str">
        <f t="shared" ref="B46:H46" si="63">+IFERROR(B45/A45-1,"nm")</f>
        <v>nm</v>
      </c>
      <c r="C46" s="47">
        <f t="shared" si="63"/>
        <v>0.16346153846153855</v>
      </c>
      <c r="D46" s="47">
        <f t="shared" si="63"/>
        <v>-7.8512396694214837E-2</v>
      </c>
      <c r="E46" s="47">
        <f t="shared" si="63"/>
        <v>-0.12107623318385652</v>
      </c>
      <c r="F46" s="47">
        <f t="shared" si="63"/>
        <v>-0.40306122448979587</v>
      </c>
      <c r="G46" s="47">
        <f t="shared" si="63"/>
        <v>-5.9829059829059839E-2</v>
      </c>
      <c r="H46" s="47">
        <f t="shared" si="63"/>
        <v>-0.10909090909090913</v>
      </c>
      <c r="I46" s="47">
        <f>+IFERROR(I45/H45-1,"nm")</f>
        <v>0.48979591836734704</v>
      </c>
      <c r="J46" s="47">
        <f t="shared" ref="J46:N46" si="64">+IFERROR(J45/I45-1,"nm")</f>
        <v>4.8999999999999932E-2</v>
      </c>
      <c r="K46" s="47">
        <f t="shared" si="64"/>
        <v>4.8999999999999932E-2</v>
      </c>
      <c r="L46" s="47">
        <f t="shared" si="64"/>
        <v>4.8999999999999932E-2</v>
      </c>
      <c r="M46" s="47">
        <f t="shared" si="64"/>
        <v>4.8999999999999932E-2</v>
      </c>
      <c r="N46" s="47">
        <f t="shared" si="64"/>
        <v>4.8999999999999932E-2</v>
      </c>
    </row>
    <row r="47" spans="1:14" x14ac:dyDescent="0.2">
      <c r="A47" s="46" t="s">
        <v>133</v>
      </c>
      <c r="B47" s="47">
        <f t="shared" ref="B47:H47" si="65">+IFERROR(B45/B$21,"nm")</f>
        <v>1.5138282387190683E-2</v>
      </c>
      <c r="C47" s="47">
        <f t="shared" si="65"/>
        <v>1.6391221891086428E-2</v>
      </c>
      <c r="D47" s="47">
        <f t="shared" si="65"/>
        <v>1.4655625657202945E-2</v>
      </c>
      <c r="E47" s="47">
        <f t="shared" si="65"/>
        <v>1.3194210703466847E-2</v>
      </c>
      <c r="F47" s="47">
        <f t="shared" si="65"/>
        <v>7.3575650861526856E-3</v>
      </c>
      <c r="G47" s="47">
        <f t="shared" si="65"/>
        <v>7.5945871306268989E-3</v>
      </c>
      <c r="H47" s="47">
        <f t="shared" si="65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66">+J47</f>
        <v>7.9551027080041418E-3</v>
      </c>
      <c r="L47" s="49">
        <f t="shared" si="66"/>
        <v>7.9551027080041418E-3</v>
      </c>
      <c r="M47" s="49">
        <f t="shared" si="66"/>
        <v>7.9551027080041418E-3</v>
      </c>
      <c r="N47" s="49">
        <f t="shared" si="66"/>
        <v>7.9551027080041418E-3</v>
      </c>
    </row>
    <row r="48" spans="1:14" x14ac:dyDescent="0.2">
      <c r="A48" s="9" t="s">
        <v>141</v>
      </c>
      <c r="B48" s="9">
        <f>[1]Historicals!B157</f>
        <v>632</v>
      </c>
      <c r="C48" s="9">
        <f>[1]Historicals!C157</f>
        <v>742</v>
      </c>
      <c r="D48" s="9">
        <f>[1]Historicals!D157</f>
        <v>819</v>
      </c>
      <c r="E48" s="9">
        <f>[1]Historicals!E157</f>
        <v>848</v>
      </c>
      <c r="F48" s="9">
        <f>[1]Historicals!F157</f>
        <v>814</v>
      </c>
      <c r="G48" s="9">
        <f>[1]Historicals!G157</f>
        <v>645</v>
      </c>
      <c r="H48" s="9">
        <f>[1]Historicals!H157</f>
        <v>617</v>
      </c>
      <c r="I48" s="9">
        <f>[1]Historicals!I157</f>
        <v>639</v>
      </c>
      <c r="J48" s="9">
        <f>+J21*J50</f>
        <v>670.31100000000004</v>
      </c>
      <c r="K48" s="9">
        <f t="shared" ref="K48:N48" si="67">+K21*K50</f>
        <v>703.15623900000003</v>
      </c>
      <c r="L48" s="9">
        <f t="shared" si="67"/>
        <v>737.6108947109999</v>
      </c>
      <c r="M48" s="9">
        <f t="shared" si="67"/>
        <v>773.75382855183886</v>
      </c>
      <c r="N48" s="9">
        <f t="shared" si="67"/>
        <v>811.66776615087895</v>
      </c>
    </row>
    <row r="49" spans="1:14" x14ac:dyDescent="0.2">
      <c r="A49" s="46" t="s">
        <v>129</v>
      </c>
      <c r="B49" s="47" t="str">
        <f t="shared" ref="B49:H49" si="68">+IFERROR(B48/A48-1,"nm")</f>
        <v>nm</v>
      </c>
      <c r="C49" s="47">
        <f t="shared" si="68"/>
        <v>0.17405063291139244</v>
      </c>
      <c r="D49" s="47">
        <f t="shared" si="68"/>
        <v>0.10377358490566047</v>
      </c>
      <c r="E49" s="47">
        <f t="shared" si="68"/>
        <v>3.5409035409035505E-2</v>
      </c>
      <c r="F49" s="47">
        <f t="shared" si="68"/>
        <v>-4.0094339622641528E-2</v>
      </c>
      <c r="G49" s="47">
        <f t="shared" si="68"/>
        <v>-0.20761670761670759</v>
      </c>
      <c r="H49" s="47">
        <f t="shared" si="68"/>
        <v>-4.3410852713178349E-2</v>
      </c>
      <c r="I49" s="47">
        <f>+IFERROR(I48/H48-1,"nm")</f>
        <v>3.5656401944894611E-2</v>
      </c>
      <c r="J49" s="47">
        <f>+IFERROR(J48/I48-1,"nm")</f>
        <v>4.9000000000000155E-2</v>
      </c>
      <c r="K49" s="47">
        <f t="shared" ref="K49:N49" si="69">+IFERROR(J48/I48-1,"nm")</f>
        <v>4.9000000000000155E-2</v>
      </c>
      <c r="L49" s="47">
        <f t="shared" si="69"/>
        <v>4.8999999999999932E-2</v>
      </c>
      <c r="M49" s="47">
        <f t="shared" si="69"/>
        <v>4.899999999999971E-2</v>
      </c>
      <c r="N49" s="47">
        <f t="shared" si="69"/>
        <v>4.8999999999999932E-2</v>
      </c>
    </row>
    <row r="50" spans="1:14" x14ac:dyDescent="0.2">
      <c r="A50" s="46" t="s">
        <v>133</v>
      </c>
      <c r="B50" s="47">
        <f t="shared" ref="B50:H50" si="70">+IFERROR(B48/B$21,"nm")</f>
        <v>4.599708879184862E-2</v>
      </c>
      <c r="C50" s="47">
        <f t="shared" si="70"/>
        <v>5.0257382823083174E-2</v>
      </c>
      <c r="D50" s="47">
        <f t="shared" si="70"/>
        <v>5.3824921135646686E-2</v>
      </c>
      <c r="E50" s="47">
        <f t="shared" si="70"/>
        <v>5.7085156512958597E-2</v>
      </c>
      <c r="F50" s="47">
        <f t="shared" si="70"/>
        <v>5.1188529744686205E-2</v>
      </c>
      <c r="G50" s="47">
        <f t="shared" si="70"/>
        <v>4.4531897265948632E-2</v>
      </c>
      <c r="H50" s="47">
        <f t="shared" si="70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71">+J50</f>
        <v>3.4817196098730456E-2</v>
      </c>
      <c r="L50" s="49">
        <f t="shared" si="71"/>
        <v>3.4817196098730456E-2</v>
      </c>
      <c r="M50" s="49">
        <f t="shared" si="71"/>
        <v>3.4817196098730456E-2</v>
      </c>
      <c r="N50" s="49">
        <f t="shared" si="71"/>
        <v>3.4817196098730456E-2</v>
      </c>
    </row>
    <row r="51" spans="1:14" x14ac:dyDescent="0.2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0"/>
  <sheetViews>
    <sheetView topLeftCell="A41" workbookViewId="0">
      <selection activeCell="A48" sqref="A48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  <col min="15" max="15" width="39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2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48998.789999999994</v>
      </c>
      <c r="K3" s="9">
        <f>'Segmental forecast'!K3</f>
        <v>51399.730709999989</v>
      </c>
      <c r="L3" s="9">
        <f>'Segmental forecast'!L3</f>
        <v>53918.317514789982</v>
      </c>
      <c r="M3" s="9">
        <f>'Segmental forecast'!M3</f>
        <v>56560.315073014688</v>
      </c>
      <c r="N3" s="9">
        <f>'Segmental forecast'!N3</f>
        <v>59331.770511592404</v>
      </c>
      <c r="O3" t="s">
        <v>196</v>
      </c>
    </row>
    <row r="4" spans="1:15" x14ac:dyDescent="0.2">
      <c r="A4" s="42" t="s">
        <v>129</v>
      </c>
      <c r="B4" s="54" t="str">
        <f>'Segmental forecast'!B4</f>
        <v>nm</v>
      </c>
      <c r="C4" s="54">
        <f>'Segmental forecast'!C4</f>
        <v>5.8004640371229765E-2</v>
      </c>
      <c r="D4" s="54">
        <f>'Segmental forecast'!D4</f>
        <v>6.0971089696071123E-2</v>
      </c>
      <c r="E4" s="54">
        <f>'Segmental forecast'!E4</f>
        <v>5.95924308588065E-2</v>
      </c>
      <c r="F4" s="54">
        <f>'Segmental forecast'!F4</f>
        <v>7.4731433909388079E-2</v>
      </c>
      <c r="G4" s="54">
        <f>'Segmental forecast'!G4</f>
        <v>-4.3817266150267153E-2</v>
      </c>
      <c r="H4" s="54">
        <f>'Segmental forecast'!H4</f>
        <v>0.19076009945726269</v>
      </c>
      <c r="I4" s="54">
        <f>'Segmental forecast'!I4</f>
        <v>4.8767344739323759E-2</v>
      </c>
      <c r="J4" s="54">
        <f>'Segmental forecast'!J4</f>
        <v>4.9000000000000002E-2</v>
      </c>
      <c r="K4" s="54">
        <f>'Segmental forecast'!K4</f>
        <v>4.9000000000000002E-2</v>
      </c>
      <c r="L4" s="54">
        <f>'Segmental forecast'!L4</f>
        <v>4.9000000000000002E-2</v>
      </c>
      <c r="M4" s="54">
        <f>'Segmental forecast'!M4</f>
        <v>4.9000000000000002E-2</v>
      </c>
      <c r="N4" s="54">
        <f>'Segmental forecast'!N4</f>
        <v>4.9000000000000002E-2</v>
      </c>
    </row>
    <row r="5" spans="1:15" x14ac:dyDescent="0.2">
      <c r="A5" s="1" t="s">
        <v>149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7944.0769999999993</v>
      </c>
      <c r="K5" s="9">
        <f>'Segmental forecast'!K5</f>
        <v>8333.3367729999973</v>
      </c>
      <c r="L5" s="9">
        <f>'Segmental forecast'!L5</f>
        <v>8741.6702748769967</v>
      </c>
      <c r="M5" s="9">
        <f>'Segmental forecast'!M5</f>
        <v>9170.0121183459687</v>
      </c>
      <c r="N5" s="9">
        <f>'Segmental forecast'!N5</f>
        <v>9619.3427121449204</v>
      </c>
    </row>
    <row r="6" spans="1:15" x14ac:dyDescent="0.2">
      <c r="A6" s="50" t="s">
        <v>132</v>
      </c>
      <c r="B6" s="55">
        <f>'Segmental forecast'!B8</f>
        <v>606</v>
      </c>
      <c r="C6" s="55">
        <f>'Segmental forecast'!C8</f>
        <v>649</v>
      </c>
      <c r="D6" s="55">
        <f>'Segmental forecast'!D8</f>
        <v>706</v>
      </c>
      <c r="E6" s="55">
        <f>'Segmental forecast'!E8</f>
        <v>747</v>
      </c>
      <c r="F6" s="55">
        <f>'Segmental forecast'!F8</f>
        <v>705</v>
      </c>
      <c r="G6" s="55">
        <f>'Segmental forecast'!G8</f>
        <v>721</v>
      </c>
      <c r="H6" s="55">
        <f>'Segmental forecast'!H8</f>
        <v>744</v>
      </c>
      <c r="I6" s="55">
        <f>'Segmental forecast'!I8</f>
        <v>717</v>
      </c>
      <c r="J6" s="55">
        <f>'Segmental forecast'!J8</f>
        <v>752.13299999999992</v>
      </c>
      <c r="K6" s="55">
        <f>'Segmental forecast'!K8</f>
        <v>788.9875169999998</v>
      </c>
      <c r="L6" s="55">
        <f>'Segmental forecast'!L8</f>
        <v>827.6479053329997</v>
      </c>
      <c r="M6" s="55">
        <f>'Segmental forecast'!M8</f>
        <v>868.20265269431661</v>
      </c>
      <c r="N6" s="55">
        <f>'Segmental forecast'!N8</f>
        <v>910.74458267633804</v>
      </c>
    </row>
    <row r="7" spans="1:15" x14ac:dyDescent="0.2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7191.9439999999995</v>
      </c>
      <c r="K7" s="5">
        <f>'Segmental forecast'!K11</f>
        <v>7544.3492559999977</v>
      </c>
      <c r="L7" s="5">
        <f>'Segmental forecast'!L11</f>
        <v>7914.0223695439972</v>
      </c>
      <c r="M7" s="5">
        <f>'Segmental forecast'!M11</f>
        <v>8301.8094656516514</v>
      </c>
      <c r="N7" s="5">
        <f>'Segmental forecast'!N11</f>
        <v>8708.5981294685826</v>
      </c>
    </row>
    <row r="8" spans="1:15" x14ac:dyDescent="0.2">
      <c r="A8" s="42" t="s">
        <v>129</v>
      </c>
      <c r="B8" s="54" t="str">
        <f>'Segmental forecast'!B12</f>
        <v>nm</v>
      </c>
      <c r="C8" s="54">
        <f>'Segmental forecast'!C12</f>
        <v>9.6621781242617555E-2</v>
      </c>
      <c r="D8" s="54">
        <f>'Segmental forecast'!D12</f>
        <v>6.5273588970271357E-2</v>
      </c>
      <c r="E8" s="54">
        <f>'Segmental forecast'!E12</f>
        <v>-0.11445904954499497</v>
      </c>
      <c r="F8" s="54">
        <f>'Segmental forecast'!F12</f>
        <v>0.10755880337976698</v>
      </c>
      <c r="G8" s="54">
        <f>'Segmental forecast'!G12</f>
        <v>-0.38639175257731961</v>
      </c>
      <c r="H8" s="54">
        <f>'Segmental forecast'!H12</f>
        <v>1.32627688172043</v>
      </c>
      <c r="I8" s="54">
        <f>'Segmental forecast'!I12</f>
        <v>-9.67788530983682E-3</v>
      </c>
      <c r="J8" s="54">
        <f>'Segmental forecast'!J12</f>
        <v>4.8999999999999932E-2</v>
      </c>
      <c r="K8" s="54">
        <f>'Segmental forecast'!K12</f>
        <v>4.899999999999971E-2</v>
      </c>
      <c r="L8" s="54">
        <f>'Segmental forecast'!L12</f>
        <v>4.8999999999999932E-2</v>
      </c>
      <c r="M8" s="54">
        <f>'Segmental forecast'!M12</f>
        <v>4.899999999999971E-2</v>
      </c>
      <c r="N8" s="54">
        <f>'Segmental forecast'!N12</f>
        <v>4.8999999999999932E-2</v>
      </c>
    </row>
    <row r="9" spans="1:15" x14ac:dyDescent="0.2">
      <c r="A9" s="42" t="s">
        <v>131</v>
      </c>
      <c r="B9" s="54">
        <f>'Segmental forecast'!B13</f>
        <v>0.13832881278389594</v>
      </c>
      <c r="C9" s="54">
        <f>'Segmental forecast'!C13</f>
        <v>0.14337781072399308</v>
      </c>
      <c r="D9" s="54">
        <f>'Segmental forecast'!D13</f>
        <v>0.14395924308588065</v>
      </c>
      <c r="E9" s="54">
        <f>'Segmental forecast'!E13</f>
        <v>0.12031211363573921</v>
      </c>
      <c r="F9" s="54">
        <f>'Segmental forecast'!F13</f>
        <v>0.12398701331901731</v>
      </c>
      <c r="G9" s="54">
        <f>'Segmental forecast'!G13</f>
        <v>7.9565810229126011E-2</v>
      </c>
      <c r="H9" s="54">
        <f>'Segmental forecast'!H13</f>
        <v>0.1554402981723472</v>
      </c>
      <c r="I9" s="54">
        <f>'Segmental forecast'!I13</f>
        <v>0.14677799186469706</v>
      </c>
      <c r="J9" s="54">
        <f>'Segmental forecast'!J13</f>
        <v>0.14677799186469709</v>
      </c>
      <c r="K9" s="54">
        <f>'Segmental forecast'!K13</f>
        <v>0.14677799186469706</v>
      </c>
      <c r="L9" s="54">
        <f>'Segmental forecast'!L13</f>
        <v>0.14677799186469706</v>
      </c>
      <c r="M9" s="54">
        <f>'Segmental forecast'!M13</f>
        <v>0.14677799186469703</v>
      </c>
      <c r="N9" s="54">
        <f>'Segmental forecast'!N13</f>
        <v>0.14677799186469706</v>
      </c>
    </row>
    <row r="10" spans="1:15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v>-6</v>
      </c>
      <c r="K10" s="3">
        <v>-161</v>
      </c>
      <c r="L10" s="3">
        <v>-161</v>
      </c>
      <c r="M10" s="3">
        <v>-161</v>
      </c>
      <c r="N10" s="3">
        <v>-161</v>
      </c>
    </row>
    <row r="11" spans="1:15" x14ac:dyDescent="0.2">
      <c r="A11" s="4" t="s">
        <v>150</v>
      </c>
      <c r="B11" s="5">
        <f>B7-B10</f>
        <v>4205</v>
      </c>
      <c r="C11" s="5">
        <f t="shared" ref="C11:K11" si="1">C7-C10</f>
        <v>4623</v>
      </c>
      <c r="D11" s="5">
        <f t="shared" si="1"/>
        <v>4886</v>
      </c>
      <c r="E11" s="5">
        <f t="shared" si="1"/>
        <v>4325</v>
      </c>
      <c r="F11" s="5">
        <f t="shared" si="1"/>
        <v>4801</v>
      </c>
      <c r="G11" s="5">
        <f t="shared" si="1"/>
        <v>2887</v>
      </c>
      <c r="H11" s="5">
        <f t="shared" si="1"/>
        <v>6661</v>
      </c>
      <c r="I11" s="5">
        <f t="shared" si="1"/>
        <v>6651</v>
      </c>
      <c r="J11" s="5">
        <f t="shared" si="1"/>
        <v>7197.9439999999995</v>
      </c>
      <c r="K11" s="5">
        <f t="shared" si="1"/>
        <v>7705.3492559999977</v>
      </c>
      <c r="L11" s="5">
        <f>L7-L10</f>
        <v>8075.0223695439972</v>
      </c>
      <c r="M11" s="5">
        <f t="shared" ref="M11" si="2">M7-M10</f>
        <v>8462.8094656516514</v>
      </c>
      <c r="N11" s="5">
        <f t="shared" ref="N11" si="3">N7-N10</f>
        <v>8869.5981294685826</v>
      </c>
    </row>
    <row r="12" spans="1:15" x14ac:dyDescent="0.2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v>1131</v>
      </c>
      <c r="K12" s="3">
        <v>1000</v>
      </c>
      <c r="L12" s="3">
        <v>1000</v>
      </c>
      <c r="M12" s="3">
        <v>1000</v>
      </c>
      <c r="N12" s="3">
        <v>1000</v>
      </c>
    </row>
    <row r="13" spans="1:15" x14ac:dyDescent="0.2">
      <c r="A13" s="51" t="s">
        <v>151</v>
      </c>
      <c r="B13" s="56">
        <f>B12/B11</f>
        <v>0.22164090368608799</v>
      </c>
      <c r="C13" s="56">
        <f t="shared" ref="C13:N13" si="4">C12/C11</f>
        <v>0.18667531905688947</v>
      </c>
      <c r="D13" s="56">
        <f t="shared" si="4"/>
        <v>0.13221449038067951</v>
      </c>
      <c r="E13" s="56">
        <f t="shared" si="4"/>
        <v>0.55306358381502885</v>
      </c>
      <c r="F13" s="56">
        <f t="shared" si="4"/>
        <v>0.16079983336804832</v>
      </c>
      <c r="G13" s="56">
        <f t="shared" si="4"/>
        <v>0.12054035330793211</v>
      </c>
      <c r="H13" s="56">
        <f t="shared" si="4"/>
        <v>0.14021918630836211</v>
      </c>
      <c r="I13" s="56">
        <f t="shared" si="4"/>
        <v>9.0963764847391368E-2</v>
      </c>
      <c r="J13" s="56">
        <f t="shared" si="4"/>
        <v>0.15712820216439585</v>
      </c>
      <c r="K13" s="56">
        <f t="shared" si="4"/>
        <v>0.12977997061214591</v>
      </c>
      <c r="L13" s="56">
        <f t="shared" si="4"/>
        <v>0.1238386662273074</v>
      </c>
      <c r="M13" s="56">
        <f t="shared" si="4"/>
        <v>0.1181640688070245</v>
      </c>
      <c r="N13" s="56">
        <f t="shared" si="4"/>
        <v>0.11274467968030864</v>
      </c>
    </row>
    <row r="14" spans="1:15" ht="16" thickBot="1" x14ac:dyDescent="0.25">
      <c r="A14" s="6" t="s">
        <v>152</v>
      </c>
      <c r="B14" s="7">
        <f>+B11-B12</f>
        <v>3273</v>
      </c>
      <c r="C14" s="7">
        <f t="shared" ref="C14:N14" si="5">+C11-C12</f>
        <v>3760</v>
      </c>
      <c r="D14" s="7">
        <f t="shared" si="5"/>
        <v>4240</v>
      </c>
      <c r="E14" s="7">
        <f t="shared" si="5"/>
        <v>1933</v>
      </c>
      <c r="F14" s="7">
        <f t="shared" si="5"/>
        <v>4029</v>
      </c>
      <c r="G14" s="7">
        <f t="shared" si="5"/>
        <v>2539</v>
      </c>
      <c r="H14" s="7">
        <f t="shared" si="5"/>
        <v>5727</v>
      </c>
      <c r="I14" s="7">
        <f t="shared" si="5"/>
        <v>6046</v>
      </c>
      <c r="J14" s="7">
        <f t="shared" si="5"/>
        <v>6066.9439999999995</v>
      </c>
      <c r="K14" s="7">
        <f t="shared" si="5"/>
        <v>6705.3492559999977</v>
      </c>
      <c r="L14" s="7">
        <f t="shared" si="5"/>
        <v>7075.0223695439972</v>
      </c>
      <c r="M14" s="7">
        <f t="shared" si="5"/>
        <v>7462.8094656516514</v>
      </c>
      <c r="N14" s="7">
        <f t="shared" si="5"/>
        <v>7869.5981294685826</v>
      </c>
    </row>
    <row r="15" spans="1:15" ht="16" thickTop="1" x14ac:dyDescent="0.2">
      <c r="A15" t="s">
        <v>153</v>
      </c>
      <c r="B15" s="66">
        <f>Historicals!B15</f>
        <v>3.7</v>
      </c>
      <c r="C15" s="66">
        <f>Historicals!C15</f>
        <v>2.16</v>
      </c>
      <c r="D15" s="66">
        <f>Historicals!D15</f>
        <v>2.5099999999999998</v>
      </c>
      <c r="E15" s="66">
        <f>Historicals!E15</f>
        <v>1.17</v>
      </c>
      <c r="F15" s="66">
        <f>Historicals!F15</f>
        <v>2.4900000000000002</v>
      </c>
      <c r="G15" s="66">
        <f>Historicals!G15</f>
        <v>1.6</v>
      </c>
      <c r="H15" s="66">
        <f>Historicals!H15</f>
        <v>3.56</v>
      </c>
      <c r="I15" s="66">
        <f>Historicals!I15</f>
        <v>3.75</v>
      </c>
      <c r="J15" s="58">
        <v>3.23</v>
      </c>
      <c r="K15" s="58">
        <v>3.73</v>
      </c>
      <c r="L15" s="58">
        <v>3.73</v>
      </c>
      <c r="M15" s="58">
        <v>3.73</v>
      </c>
      <c r="N15" s="58">
        <v>3.73</v>
      </c>
      <c r="O15" t="s">
        <v>197</v>
      </c>
    </row>
    <row r="16" spans="1:15" x14ac:dyDescent="0.2">
      <c r="A16" t="s">
        <v>154</v>
      </c>
      <c r="B16" s="58">
        <f>Historicals!B14</f>
        <v>3.8</v>
      </c>
      <c r="C16" s="58">
        <f>Historicals!C14</f>
        <v>2.21</v>
      </c>
      <c r="D16" s="58">
        <f>Historicals!D14</f>
        <v>2.56</v>
      </c>
      <c r="E16" s="58">
        <f>Historicals!E14</f>
        <v>1.19</v>
      </c>
      <c r="F16" s="58">
        <f>Historicals!F14</f>
        <v>2.5499999999999998</v>
      </c>
      <c r="G16" s="58">
        <f>Historicals!G14</f>
        <v>1.63</v>
      </c>
      <c r="H16" s="58">
        <f>Historicals!H14</f>
        <v>3.64</v>
      </c>
      <c r="I16" s="58">
        <f>Historicals!I14</f>
        <v>3.83</v>
      </c>
      <c r="J16" s="58">
        <v>3.27</v>
      </c>
      <c r="K16" s="58">
        <v>3.76</v>
      </c>
      <c r="L16" s="58">
        <v>3.76</v>
      </c>
      <c r="M16" s="58">
        <v>3.76</v>
      </c>
      <c r="N16" s="58">
        <v>3.76</v>
      </c>
    </row>
    <row r="17" spans="1:15" x14ac:dyDescent="0.2">
      <c r="A17" t="s">
        <v>155</v>
      </c>
      <c r="B17" s="58">
        <f>+(-Historicals!B96/Historicals!B18)</f>
        <v>1.016508367254636</v>
      </c>
      <c r="C17" s="58">
        <f>+(-Historicals!C96/Historicals!C18)</f>
        <v>0.58250213736107148</v>
      </c>
      <c r="D17" s="58">
        <f>+(-Historicals!D96/Historicals!D18)</f>
        <v>0.6629995903797764</v>
      </c>
      <c r="E17" s="58">
        <f>+(-Historicals!E96/Historicals!E18)</f>
        <v>0.74124873278072634</v>
      </c>
      <c r="F17" s="58">
        <f>+(-Historicals!F96/Historicals!F18)</f>
        <v>0.82303509639149774</v>
      </c>
      <c r="G17" s="58">
        <f>+(-Historicals!G96/Historicals!G18)</f>
        <v>0.91228951997989449</v>
      </c>
      <c r="H17" s="58">
        <f>+(-Historicals!H96/Historicals!H18)</f>
        <v>1.0177705977382876</v>
      </c>
      <c r="I17" s="58">
        <f>+(-Historicals!I96/Historicals!I18)</f>
        <v>1.1404271169605165</v>
      </c>
      <c r="J17" s="58">
        <f>2012/1569.8</f>
        <v>1.2816919352783795</v>
      </c>
      <c r="K17" s="58">
        <f>2169/1529.7</f>
        <v>1.4179250833496764</v>
      </c>
      <c r="L17" s="58">
        <f t="shared" ref="L17:N17" si="6">2169/1529.7</f>
        <v>1.4179250833496764</v>
      </c>
      <c r="M17" s="58">
        <f t="shared" si="6"/>
        <v>1.4179250833496764</v>
      </c>
      <c r="N17" s="58">
        <f t="shared" si="6"/>
        <v>1.4179250833496764</v>
      </c>
    </row>
    <row r="18" spans="1:15" x14ac:dyDescent="0.2">
      <c r="A18" s="51" t="s">
        <v>129</v>
      </c>
      <c r="B18" s="56">
        <v>0</v>
      </c>
      <c r="C18" s="56">
        <f>(C14-B14)/B14</f>
        <v>0.1487931561258784</v>
      </c>
      <c r="D18" s="56">
        <f t="shared" ref="D18:N18" si="7">(D14-C14)/C14</f>
        <v>0.1276595744680851</v>
      </c>
      <c r="E18" s="56">
        <f t="shared" si="7"/>
        <v>-0.54410377358490569</v>
      </c>
      <c r="F18" s="56">
        <f t="shared" si="7"/>
        <v>1.0843248836006207</v>
      </c>
      <c r="G18" s="56">
        <f t="shared" si="7"/>
        <v>-0.36981881360138991</v>
      </c>
      <c r="H18" s="56">
        <f t="shared" si="7"/>
        <v>1.2556124458448208</v>
      </c>
      <c r="I18" s="56">
        <f t="shared" si="7"/>
        <v>5.5701065130085561E-2</v>
      </c>
      <c r="J18" s="56">
        <f t="shared" si="7"/>
        <v>3.4641085014885057E-3</v>
      </c>
      <c r="K18" s="56">
        <f t="shared" si="7"/>
        <v>0.1052268252352417</v>
      </c>
      <c r="L18" s="56">
        <f t="shared" si="7"/>
        <v>5.5131075120839264E-2</v>
      </c>
      <c r="M18" s="56">
        <f t="shared" si="7"/>
        <v>5.4810723677280473E-2</v>
      </c>
      <c r="N18" s="56">
        <f t="shared" si="7"/>
        <v>5.4508783279168235E-2</v>
      </c>
      <c r="O18" t="s">
        <v>198</v>
      </c>
    </row>
    <row r="19" spans="1:15" x14ac:dyDescent="0.2">
      <c r="A19" s="51" t="s">
        <v>156</v>
      </c>
      <c r="B19" s="56">
        <f>B17/B16</f>
        <v>0.26750220190911472</v>
      </c>
      <c r="C19" s="56">
        <f t="shared" ref="C19:N19" si="8">C17/C16</f>
        <v>0.26357562776519072</v>
      </c>
      <c r="D19" s="56">
        <f t="shared" si="8"/>
        <v>0.25898421499210017</v>
      </c>
      <c r="E19" s="56">
        <f t="shared" si="8"/>
        <v>0.6228980947737196</v>
      </c>
      <c r="F19" s="56">
        <f t="shared" si="8"/>
        <v>0.32275886132999915</v>
      </c>
      <c r="G19" s="56">
        <f t="shared" si="8"/>
        <v>0.55968682207355491</v>
      </c>
      <c r="H19" s="56">
        <f t="shared" si="8"/>
        <v>0.2796073070709581</v>
      </c>
      <c r="I19" s="56">
        <f t="shared" si="8"/>
        <v>0.29776164933694949</v>
      </c>
      <c r="J19" s="56">
        <f t="shared" si="8"/>
        <v>0.39195472026861761</v>
      </c>
      <c r="K19" s="56">
        <f t="shared" si="8"/>
        <v>0.37710773493342459</v>
      </c>
      <c r="L19" s="56">
        <f t="shared" si="8"/>
        <v>0.37710773493342459</v>
      </c>
      <c r="M19" s="56">
        <f t="shared" si="8"/>
        <v>0.37710773493342459</v>
      </c>
      <c r="N19" s="56">
        <f t="shared" si="8"/>
        <v>0.37710773493342459</v>
      </c>
      <c r="O19" t="s">
        <v>198</v>
      </c>
    </row>
    <row r="20" spans="1:15" x14ac:dyDescent="0.2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5" x14ac:dyDescent="0.2">
      <c r="A21" t="s">
        <v>158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v>7441</v>
      </c>
      <c r="K21" s="3">
        <v>9860</v>
      </c>
      <c r="L21" s="3">
        <v>9860</v>
      </c>
      <c r="M21" s="3">
        <v>9860</v>
      </c>
      <c r="N21" s="3">
        <v>9860</v>
      </c>
    </row>
    <row r="22" spans="1:15" x14ac:dyDescent="0.2">
      <c r="A22" t="s">
        <v>159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5" x14ac:dyDescent="0.2">
      <c r="A23" t="s">
        <v>160</v>
      </c>
      <c r="B23" s="3">
        <f>Historicals!B31-Historicals!B46</f>
        <v>9642</v>
      </c>
      <c r="C23" s="3">
        <f>Historicals!C31-Historicals!C46</f>
        <v>9667</v>
      </c>
      <c r="D23" s="3">
        <f>Historicals!D31-Historicals!D46</f>
        <v>10587</v>
      </c>
      <c r="E23" s="3">
        <f>Historicals!E31-Historicals!E46</f>
        <v>9094</v>
      </c>
      <c r="F23" s="3">
        <f>Historicals!F31-Historicals!F46</f>
        <v>8659</v>
      </c>
      <c r="G23" s="3">
        <f>Historicals!G31-Historicals!G46</f>
        <v>12272</v>
      </c>
      <c r="H23" s="3">
        <f>Historicals!H31-Historicals!H46</f>
        <v>16617</v>
      </c>
      <c r="I23" s="3">
        <f>Historicals!I31-Historicals!I46</f>
        <v>17483</v>
      </c>
      <c r="J23" s="3">
        <f>25202-9256</f>
        <v>15946</v>
      </c>
      <c r="K23" s="3">
        <f>25382-10583</f>
        <v>14799</v>
      </c>
      <c r="L23" s="3">
        <f t="shared" ref="L23:N23" si="9">25382-10583</f>
        <v>14799</v>
      </c>
      <c r="M23" s="3">
        <f t="shared" si="9"/>
        <v>14799</v>
      </c>
      <c r="N23" s="3">
        <f t="shared" si="9"/>
        <v>14799</v>
      </c>
      <c r="O23" t="s">
        <v>203</v>
      </c>
    </row>
    <row r="24" spans="1:15" x14ac:dyDescent="0.2">
      <c r="A24" s="51" t="s">
        <v>161</v>
      </c>
      <c r="B24" s="56"/>
      <c r="C24" s="56"/>
      <c r="D24" s="56"/>
      <c r="E24" s="56"/>
      <c r="F24" s="56"/>
      <c r="G24" s="56"/>
      <c r="H24" s="56"/>
      <c r="I24" s="56"/>
      <c r="J24" s="57"/>
      <c r="K24" s="57"/>
      <c r="L24" s="57"/>
      <c r="M24" s="57"/>
      <c r="N24" s="57"/>
    </row>
    <row r="25" spans="1:15" x14ac:dyDescent="0.2">
      <c r="A25" t="s">
        <v>162</v>
      </c>
      <c r="B25" s="3">
        <f>SUM(Historicals!B26:B30)</f>
        <v>12124</v>
      </c>
      <c r="C25" s="3">
        <f>SUM(Historicals!C26:C30)</f>
        <v>11887</v>
      </c>
      <c r="D25" s="3">
        <f>SUM(Historicals!D26:D30)</f>
        <v>12253</v>
      </c>
      <c r="E25" s="3">
        <f>SUM(Historicals!E26:E30)</f>
        <v>10885</v>
      </c>
      <c r="F25" s="3">
        <f>SUM(Historicals!F26:F30)</f>
        <v>12059</v>
      </c>
      <c r="G25" s="3">
        <f>SUM(Historicals!G26:G30)</f>
        <v>12208</v>
      </c>
      <c r="H25" s="3">
        <f>SUM(Historicals!H26:H30)</f>
        <v>16402</v>
      </c>
      <c r="I25" s="3">
        <f>SUM(Historicals!I26:I30)</f>
        <v>19639</v>
      </c>
      <c r="J25" s="3">
        <f>3234+4131+8454+1942</f>
        <v>17761</v>
      </c>
      <c r="K25" s="3">
        <f>1722+4427+7519+1854</f>
        <v>15522</v>
      </c>
      <c r="L25" s="3">
        <f t="shared" ref="L25:N25" si="10">1722+4427+7519+1854</f>
        <v>15522</v>
      </c>
      <c r="M25" s="3">
        <f t="shared" si="10"/>
        <v>15522</v>
      </c>
      <c r="N25" s="3">
        <f t="shared" si="10"/>
        <v>15522</v>
      </c>
    </row>
    <row r="26" spans="1:15" x14ac:dyDescent="0.2">
      <c r="A26" t="s">
        <v>163</v>
      </c>
      <c r="B26" s="3">
        <f>Historicals!B32</f>
        <v>3011</v>
      </c>
      <c r="C26" s="3">
        <f>Historicals!C32</f>
        <v>3520</v>
      </c>
      <c r="D26" s="3">
        <f>Historicals!D32</f>
        <v>3989</v>
      </c>
      <c r="E26" s="3">
        <f>Historicals!E32</f>
        <v>4454</v>
      </c>
      <c r="F26" s="3">
        <f>Historicals!F32</f>
        <v>4744</v>
      </c>
      <c r="G26" s="3">
        <f>Historicals!G32</f>
        <v>4866</v>
      </c>
      <c r="H26" s="3">
        <f>Historicals!H32</f>
        <v>4904</v>
      </c>
      <c r="I26" s="3">
        <f>Historicals!I32</f>
        <v>4791</v>
      </c>
      <c r="J26" s="3">
        <v>5081</v>
      </c>
      <c r="K26" s="3">
        <v>5000</v>
      </c>
      <c r="L26" s="3">
        <v>5000</v>
      </c>
      <c r="M26" s="3">
        <v>5000</v>
      </c>
      <c r="N26" s="3">
        <v>5000</v>
      </c>
    </row>
    <row r="27" spans="1:15" x14ac:dyDescent="0.2">
      <c r="A27" t="s">
        <v>164</v>
      </c>
      <c r="B27" s="3">
        <f>Historicals!B34</f>
        <v>281</v>
      </c>
      <c r="C27" s="3">
        <f>Historicals!C34</f>
        <v>281</v>
      </c>
      <c r="D27" s="3">
        <f>Historicals!D34</f>
        <v>283</v>
      </c>
      <c r="E27" s="3">
        <f>Historicals!E34</f>
        <v>285</v>
      </c>
      <c r="F27" s="3">
        <f>Historicals!F34</f>
        <v>283</v>
      </c>
      <c r="G27" s="3">
        <f>Historicals!G34</f>
        <v>274</v>
      </c>
      <c r="H27" s="3">
        <f>Historicals!H34</f>
        <v>269</v>
      </c>
      <c r="I27" s="3">
        <f>Historicals!I34</f>
        <v>286</v>
      </c>
      <c r="J27" s="3">
        <v>274</v>
      </c>
      <c r="K27" s="3">
        <v>259</v>
      </c>
      <c r="L27" s="3">
        <v>259</v>
      </c>
      <c r="M27" s="3">
        <v>259</v>
      </c>
      <c r="N27" s="3">
        <v>259</v>
      </c>
    </row>
    <row r="28" spans="1:15" x14ac:dyDescent="0.2">
      <c r="A28" t="s">
        <v>40</v>
      </c>
      <c r="B28" s="3">
        <f>Historicals!B35</f>
        <v>131</v>
      </c>
      <c r="C28" s="3">
        <f>Historicals!C35</f>
        <v>131</v>
      </c>
      <c r="D28" s="3">
        <f>Historicals!D35</f>
        <v>139</v>
      </c>
      <c r="E28" s="3">
        <f>Historicals!E35</f>
        <v>154</v>
      </c>
      <c r="F28" s="3">
        <f>Historicals!F35</f>
        <v>154</v>
      </c>
      <c r="G28" s="3">
        <f>Historicals!G35</f>
        <v>223</v>
      </c>
      <c r="H28" s="3">
        <f>Historicals!H35</f>
        <v>242</v>
      </c>
      <c r="I28" s="3">
        <f>Historicals!I35</f>
        <v>284</v>
      </c>
      <c r="J28" s="3">
        <v>281</v>
      </c>
      <c r="K28" s="3">
        <v>240</v>
      </c>
      <c r="L28" s="3">
        <v>240</v>
      </c>
      <c r="M28" s="3">
        <v>240</v>
      </c>
      <c r="N28" s="3">
        <v>240</v>
      </c>
    </row>
    <row r="29" spans="1:15" x14ac:dyDescent="0.2">
      <c r="A29" s="53" t="s">
        <v>38</v>
      </c>
      <c r="B29" s="3">
        <f>Historicals!B33</f>
        <v>0</v>
      </c>
      <c r="C29" s="3">
        <f>Historicals!C33</f>
        <v>0</v>
      </c>
      <c r="D29" s="3">
        <f>Historicals!D33</f>
        <v>0</v>
      </c>
      <c r="E29" s="3">
        <f>Historicals!E33</f>
        <v>0</v>
      </c>
      <c r="F29" s="3">
        <f>Historicals!F33</f>
        <v>0</v>
      </c>
      <c r="G29" s="3">
        <f>Historicals!G33</f>
        <v>3097</v>
      </c>
      <c r="H29" s="3">
        <f>Historicals!H33</f>
        <v>3113</v>
      </c>
      <c r="I29" s="3">
        <f>Historicals!I33</f>
        <v>2926</v>
      </c>
      <c r="J29" s="3">
        <v>2923</v>
      </c>
      <c r="K29" s="3">
        <v>2718</v>
      </c>
      <c r="L29" s="3">
        <v>2718</v>
      </c>
      <c r="M29" s="3">
        <v>2718</v>
      </c>
      <c r="N29" s="3">
        <v>2718</v>
      </c>
    </row>
    <row r="30" spans="1:15" x14ac:dyDescent="0.2">
      <c r="A30" t="s">
        <v>165</v>
      </c>
      <c r="B30" s="3">
        <f>Historicals!B36</f>
        <v>2201</v>
      </c>
      <c r="C30" s="3">
        <f>Historicals!C36</f>
        <v>2439</v>
      </c>
      <c r="D30" s="3">
        <f>Historicals!D36</f>
        <v>2787</v>
      </c>
      <c r="E30" s="3">
        <f>Historicals!E36</f>
        <v>2509</v>
      </c>
      <c r="F30" s="3">
        <f>Historicals!F36</f>
        <v>2011</v>
      </c>
      <c r="G30" s="3">
        <f>Historicals!G36</f>
        <v>2326</v>
      </c>
      <c r="H30" s="3">
        <f>Historicals!H36</f>
        <v>2921</v>
      </c>
      <c r="I30" s="3">
        <f>Historicals!I36</f>
        <v>3821</v>
      </c>
      <c r="J30" s="3">
        <v>3770</v>
      </c>
      <c r="K30" s="3">
        <v>4511</v>
      </c>
      <c r="L30" s="3">
        <v>4511</v>
      </c>
      <c r="M30" s="3">
        <v>4511</v>
      </c>
      <c r="N30" s="3">
        <v>4511</v>
      </c>
    </row>
    <row r="31" spans="1:15" ht="16" thickBot="1" x14ac:dyDescent="0.25">
      <c r="A31" s="6" t="s">
        <v>166</v>
      </c>
      <c r="B31" s="7">
        <f>SUM(B21,B25,B26,B27,B28,B29,B30)</f>
        <v>21600</v>
      </c>
      <c r="C31" s="7">
        <f t="shared" ref="C31:K31" si="11">SUM(C21,C25,C26,C27,C28,C29,C30)</f>
        <v>21396</v>
      </c>
      <c r="D31" s="7">
        <f t="shared" si="11"/>
        <v>23259</v>
      </c>
      <c r="E31" s="7">
        <f t="shared" si="11"/>
        <v>22536</v>
      </c>
      <c r="F31" s="7">
        <f t="shared" si="11"/>
        <v>23717</v>
      </c>
      <c r="G31" s="7">
        <f t="shared" si="11"/>
        <v>31342</v>
      </c>
      <c r="H31" s="7">
        <f t="shared" si="11"/>
        <v>37740</v>
      </c>
      <c r="I31" s="7">
        <f t="shared" si="11"/>
        <v>40321</v>
      </c>
      <c r="J31" s="7">
        <f t="shared" si="11"/>
        <v>37531</v>
      </c>
      <c r="K31" s="7">
        <f t="shared" si="11"/>
        <v>38110</v>
      </c>
      <c r="L31" s="7">
        <f>SUM(L21,L25,L26,L27,L28,L29,L30)</f>
        <v>38110</v>
      </c>
      <c r="M31" s="7">
        <f t="shared" ref="M31:N31" si="12">SUM(M21,M25,M26,M27,M28,M29,M30)</f>
        <v>38110</v>
      </c>
      <c r="N31" s="7">
        <f t="shared" si="12"/>
        <v>38110</v>
      </c>
    </row>
    <row r="32" spans="1:15" ht="16" thickTop="1" x14ac:dyDescent="0.2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5" x14ac:dyDescent="0.2">
      <c r="A33" s="2" t="s">
        <v>45</v>
      </c>
      <c r="B33" s="3">
        <f>Historicals!B40</f>
        <v>107</v>
      </c>
      <c r="C33" s="3">
        <f>Historicals!C40</f>
        <v>44</v>
      </c>
      <c r="D33" s="3">
        <f>Historicals!D40</f>
        <v>6</v>
      </c>
      <c r="E33" s="3">
        <f>Historicals!E40</f>
        <v>6</v>
      </c>
      <c r="F33" s="3">
        <f>Historicals!F40</f>
        <v>6</v>
      </c>
      <c r="G33" s="3">
        <f>Historicals!G40</f>
        <v>3</v>
      </c>
      <c r="H33" s="3">
        <f>Historicals!H40</f>
        <v>0</v>
      </c>
      <c r="I33" s="3">
        <f>Historicals!I40</f>
        <v>500</v>
      </c>
      <c r="J33" s="3">
        <v>0</v>
      </c>
      <c r="K33" s="3">
        <v>1000</v>
      </c>
      <c r="L33" s="3">
        <v>1000</v>
      </c>
      <c r="M33" s="3">
        <v>1000</v>
      </c>
      <c r="N33" s="3">
        <v>1000</v>
      </c>
    </row>
    <row r="34" spans="1:15" x14ac:dyDescent="0.2">
      <c r="A34" s="2" t="s">
        <v>46</v>
      </c>
      <c r="B34" s="3">
        <f>Historicals!B41</f>
        <v>74</v>
      </c>
      <c r="C34" s="3">
        <f>Historicals!C41</f>
        <v>1</v>
      </c>
      <c r="D34" s="3">
        <f>Historicals!D41</f>
        <v>325</v>
      </c>
      <c r="E34" s="3">
        <f>Historicals!E41</f>
        <v>336</v>
      </c>
      <c r="F34" s="3">
        <f>Historicals!F41</f>
        <v>9</v>
      </c>
      <c r="G34" s="3">
        <f>Historicals!G41</f>
        <v>248</v>
      </c>
      <c r="H34" s="3">
        <f>Historicals!H41</f>
        <v>2</v>
      </c>
      <c r="I34" s="3">
        <f>Historicals!I41</f>
        <v>10</v>
      </c>
      <c r="J34" s="3">
        <v>6</v>
      </c>
      <c r="K34" s="3">
        <v>6</v>
      </c>
      <c r="L34" s="3">
        <v>6</v>
      </c>
      <c r="M34" s="3">
        <v>6</v>
      </c>
      <c r="N34" s="3">
        <v>6</v>
      </c>
    </row>
    <row r="35" spans="1:15" x14ac:dyDescent="0.2">
      <c r="A35" t="s">
        <v>168</v>
      </c>
      <c r="B35" s="3">
        <f>SUM(Historicals!B42:B45)</f>
        <v>6153</v>
      </c>
      <c r="C35" s="3">
        <f>SUM(Historicals!C42:C45)</f>
        <v>5313</v>
      </c>
      <c r="D35" s="3">
        <f>SUM(Historicals!D42:D45)</f>
        <v>5143</v>
      </c>
      <c r="E35" s="3">
        <f>SUM(Historicals!E42:E45)</f>
        <v>5698</v>
      </c>
      <c r="F35" s="3">
        <f>SUM(Historicals!F42:F45)</f>
        <v>7851</v>
      </c>
      <c r="G35" s="3">
        <f>SUM(Historicals!G42:G45)</f>
        <v>8033</v>
      </c>
      <c r="H35" s="3">
        <f>SUM(Historicals!H42:H45)</f>
        <v>9672</v>
      </c>
      <c r="I35" s="3">
        <f>SUM(Historicals!I42:I45)</f>
        <v>10220</v>
      </c>
      <c r="J35" s="3">
        <f>425+2862+5723+240</f>
        <v>9250</v>
      </c>
      <c r="K35" s="3">
        <f>2851+477+5725+534</f>
        <v>9587</v>
      </c>
      <c r="L35" s="3">
        <f>2851+477+5725+534</f>
        <v>9587</v>
      </c>
      <c r="M35" s="3">
        <f>2851+477+5725+534</f>
        <v>9587</v>
      </c>
      <c r="N35" s="3">
        <f>2851+477+5725+534</f>
        <v>9587</v>
      </c>
    </row>
    <row r="36" spans="1:15" x14ac:dyDescent="0.2">
      <c r="A36" t="s">
        <v>49</v>
      </c>
      <c r="B36" s="3">
        <f>Historicals!B47</f>
        <v>1079</v>
      </c>
      <c r="C36" s="3">
        <f>Historicals!C47</f>
        <v>2010</v>
      </c>
      <c r="D36" s="3">
        <f>Historicals!D47</f>
        <v>3471</v>
      </c>
      <c r="E36" s="3">
        <f>Historicals!E47</f>
        <v>3468</v>
      </c>
      <c r="F36" s="3">
        <f>Historicals!F47</f>
        <v>3464</v>
      </c>
      <c r="G36" s="3">
        <f>Historicals!G47</f>
        <v>9406</v>
      </c>
      <c r="H36" s="3">
        <f>Historicals!H47</f>
        <v>9413</v>
      </c>
      <c r="I36" s="3">
        <f>Historicals!I47</f>
        <v>8920</v>
      </c>
      <c r="J36" s="3">
        <v>8927</v>
      </c>
      <c r="K36" s="3">
        <v>7903</v>
      </c>
      <c r="L36" s="3">
        <v>7903</v>
      </c>
      <c r="M36" s="3">
        <v>7903</v>
      </c>
      <c r="N36" s="3">
        <v>7903</v>
      </c>
    </row>
    <row r="37" spans="1:15" x14ac:dyDescent="0.2">
      <c r="A37" s="53" t="s">
        <v>50</v>
      </c>
      <c r="B37" s="3">
        <f>Historicals!B48</f>
        <v>0</v>
      </c>
      <c r="C37" s="3">
        <f>Historicals!C48</f>
        <v>0</v>
      </c>
      <c r="D37" s="3">
        <f>Historicals!D48</f>
        <v>0</v>
      </c>
      <c r="E37" s="3">
        <f>Historicals!E48</f>
        <v>0</v>
      </c>
      <c r="F37" s="3">
        <f>Historicals!F48</f>
        <v>0</v>
      </c>
      <c r="G37" s="3">
        <f>Historicals!G48</f>
        <v>2913</v>
      </c>
      <c r="H37" s="3">
        <f>Historicals!H48</f>
        <v>2931</v>
      </c>
      <c r="I37" s="3">
        <f>Historicals!I48</f>
        <v>2777</v>
      </c>
      <c r="J37" s="3">
        <v>2786</v>
      </c>
      <c r="K37" s="3">
        <v>2566</v>
      </c>
      <c r="L37" s="3">
        <v>2566</v>
      </c>
      <c r="M37" s="3">
        <v>2566</v>
      </c>
      <c r="N37" s="3">
        <v>2566</v>
      </c>
    </row>
    <row r="38" spans="1:15" x14ac:dyDescent="0.2">
      <c r="A38" t="s">
        <v>169</v>
      </c>
      <c r="B38" s="3">
        <f>SUM(Historicals!B49:B51)</f>
        <v>1480</v>
      </c>
      <c r="C38" s="3">
        <f>SUM(Historicals!C49:C51)</f>
        <v>1770</v>
      </c>
      <c r="D38" s="3">
        <f>SUM(Historicals!D49:D51)</f>
        <v>1907</v>
      </c>
      <c r="E38" s="3">
        <f>SUM(Historicals!E49:E51)</f>
        <v>3216</v>
      </c>
      <c r="F38" s="3">
        <f>SUM(Historicals!F49:F51)</f>
        <v>3347</v>
      </c>
      <c r="G38" s="3">
        <f>SUM(Historicals!G49:G51)</f>
        <v>2684</v>
      </c>
      <c r="H38" s="3">
        <f>SUM(Historicals!H49:H51)</f>
        <v>2955</v>
      </c>
      <c r="I38" s="3">
        <f>SUM(Historicals!I49:I51)</f>
        <v>2613</v>
      </c>
      <c r="J38" s="3">
        <v>2558</v>
      </c>
      <c r="K38" s="3">
        <v>2618</v>
      </c>
      <c r="L38" s="3">
        <v>2618</v>
      </c>
      <c r="M38" s="3">
        <v>2618</v>
      </c>
      <c r="N38" s="3">
        <v>2618</v>
      </c>
    </row>
    <row r="39" spans="1:15" x14ac:dyDescent="0.2">
      <c r="A39" t="s">
        <v>170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5" x14ac:dyDescent="0.2">
      <c r="A40" s="2" t="s">
        <v>171</v>
      </c>
      <c r="B40" s="3">
        <f>Historicals!B55</f>
        <v>3</v>
      </c>
      <c r="C40" s="3">
        <f>Historicals!C55</f>
        <v>3</v>
      </c>
      <c r="D40" s="3">
        <f>Historicals!D55</f>
        <v>3</v>
      </c>
      <c r="E40" s="3">
        <f>Historicals!E55</f>
        <v>3</v>
      </c>
      <c r="F40" s="3">
        <f>Historicals!F55</f>
        <v>3</v>
      </c>
      <c r="G40" s="3">
        <f>Historicals!G55</f>
        <v>3</v>
      </c>
      <c r="H40" s="3">
        <f>Historicals!H55</f>
        <v>3</v>
      </c>
      <c r="I40" s="3">
        <f>Historicals!I55</f>
        <v>3</v>
      </c>
      <c r="J40" s="3">
        <v>3</v>
      </c>
      <c r="K40" s="3">
        <v>3</v>
      </c>
      <c r="L40" s="3">
        <v>3</v>
      </c>
      <c r="M40" s="3">
        <v>3</v>
      </c>
      <c r="N40" s="3">
        <v>3</v>
      </c>
    </row>
    <row r="41" spans="1:15" x14ac:dyDescent="0.2">
      <c r="A41" s="2" t="s">
        <v>172</v>
      </c>
      <c r="B41" s="3">
        <f>Historicals!B58</f>
        <v>4685</v>
      </c>
      <c r="C41" s="3">
        <f>Historicals!C58</f>
        <v>4151</v>
      </c>
      <c r="D41" s="3">
        <f>Historicals!D58</f>
        <v>6907</v>
      </c>
      <c r="E41" s="3">
        <f>Historicals!E58</f>
        <v>3517</v>
      </c>
      <c r="F41" s="3">
        <f>Historicals!F58</f>
        <v>1643</v>
      </c>
      <c r="G41" s="3">
        <f>Historicals!G58</f>
        <v>-191</v>
      </c>
      <c r="H41" s="3">
        <f>Historicals!H58</f>
        <v>3179</v>
      </c>
      <c r="I41" s="3">
        <f>Historicals!I58</f>
        <v>3476</v>
      </c>
      <c r="J41" s="3">
        <v>1358</v>
      </c>
      <c r="K41" s="3">
        <v>965</v>
      </c>
      <c r="L41" s="3">
        <v>965</v>
      </c>
      <c r="M41" s="3">
        <v>965</v>
      </c>
      <c r="N41" s="3">
        <v>965</v>
      </c>
    </row>
    <row r="42" spans="1:15" x14ac:dyDescent="0.2">
      <c r="A42" s="2" t="s">
        <v>173</v>
      </c>
      <c r="B42" s="3">
        <f>SUM(Historicals!B56:B57)</f>
        <v>8019</v>
      </c>
      <c r="C42" s="3">
        <f>SUM(Historicals!C56:C57)</f>
        <v>8104</v>
      </c>
      <c r="D42" s="3">
        <f>SUM(Historicals!D56:D57)</f>
        <v>5497</v>
      </c>
      <c r="E42" s="3">
        <f>SUM(Historicals!E56:E57)</f>
        <v>6292</v>
      </c>
      <c r="F42" s="3">
        <f>SUM(Historicals!F56:F57)</f>
        <v>7394</v>
      </c>
      <c r="G42" s="3">
        <f>SUM(Historicals!G56:G57)</f>
        <v>8243</v>
      </c>
      <c r="H42" s="3">
        <f>SUM(Historicals!H56:H57)</f>
        <v>9585</v>
      </c>
      <c r="I42" s="3">
        <f>SUM(Historicals!I56:I57)</f>
        <v>11802</v>
      </c>
      <c r="J42" s="3">
        <f>231+12412</f>
        <v>12643</v>
      </c>
      <c r="K42" s="3">
        <f>53+13409</f>
        <v>13462</v>
      </c>
      <c r="L42" s="3">
        <f>53+13409</f>
        <v>13462</v>
      </c>
      <c r="M42" s="3">
        <f>53+13409</f>
        <v>13462</v>
      </c>
      <c r="N42" s="3">
        <f>53+13409</f>
        <v>13462</v>
      </c>
    </row>
    <row r="43" spans="1:15" ht="16" thickBot="1" x14ac:dyDescent="0.25">
      <c r="A43" s="6" t="s">
        <v>174</v>
      </c>
      <c r="B43" s="7">
        <f>SUM(B33:B42)</f>
        <v>21600</v>
      </c>
      <c r="C43" s="7">
        <f>SUM(C33:C42)</f>
        <v>21396</v>
      </c>
      <c r="D43" s="7">
        <f>SUM(D33:D42)</f>
        <v>23259</v>
      </c>
      <c r="E43" s="7">
        <f>SUM(E33:E42)</f>
        <v>22536</v>
      </c>
      <c r="F43" s="7">
        <f>SUM(F33:F42)</f>
        <v>23717</v>
      </c>
      <c r="G43" s="7">
        <f>SUM(G33:G42)</f>
        <v>31342</v>
      </c>
      <c r="H43" s="7">
        <f>SUM(H33:H42)</f>
        <v>37740</v>
      </c>
      <c r="I43" s="7">
        <f>SUM(I33:I42)</f>
        <v>40321</v>
      </c>
      <c r="J43" s="7">
        <f>SUM(J33:J42)</f>
        <v>37531</v>
      </c>
      <c r="K43" s="7">
        <f>SUM(K33:K42)</f>
        <v>38110</v>
      </c>
      <c r="L43" s="7">
        <f>SUM(L33:L42)</f>
        <v>38110</v>
      </c>
      <c r="M43" s="7">
        <f>SUM(M33:M42)</f>
        <v>38110</v>
      </c>
      <c r="N43" s="7">
        <f>SUM(N33:N42)</f>
        <v>38110</v>
      </c>
    </row>
    <row r="44" spans="1:15" s="1" customFormat="1" ht="16" thickTop="1" x14ac:dyDescent="0.2">
      <c r="A44" s="60" t="s">
        <v>175</v>
      </c>
      <c r="B44" s="60">
        <f>B31-B43</f>
        <v>0</v>
      </c>
      <c r="C44" s="60">
        <f t="shared" ref="C44:N44" si="13">C31-C43</f>
        <v>0</v>
      </c>
      <c r="D44" s="60">
        <f t="shared" si="13"/>
        <v>0</v>
      </c>
      <c r="E44" s="60">
        <f t="shared" si="13"/>
        <v>0</v>
      </c>
      <c r="F44" s="60">
        <f t="shared" si="13"/>
        <v>0</v>
      </c>
      <c r="G44" s="60">
        <f t="shared" si="13"/>
        <v>0</v>
      </c>
      <c r="H44" s="60">
        <f t="shared" si="13"/>
        <v>0</v>
      </c>
      <c r="I44" s="60">
        <f t="shared" si="13"/>
        <v>0</v>
      </c>
      <c r="J44" s="60">
        <f t="shared" si="13"/>
        <v>0</v>
      </c>
      <c r="K44" s="60">
        <f t="shared" si="13"/>
        <v>0</v>
      </c>
      <c r="L44" s="60">
        <f t="shared" si="13"/>
        <v>0</v>
      </c>
      <c r="M44" s="60">
        <f t="shared" si="13"/>
        <v>0</v>
      </c>
      <c r="N44" s="60">
        <f t="shared" si="13"/>
        <v>0</v>
      </c>
    </row>
    <row r="45" spans="1:15" x14ac:dyDescent="0.2">
      <c r="A45" s="52" t="s">
        <v>205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5" x14ac:dyDescent="0.2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'Segmental forecast'!J11</f>
        <v>7191.9439999999995</v>
      </c>
      <c r="K46" s="9">
        <f>'Segmental forecast'!K11</f>
        <v>7544.3492559999977</v>
      </c>
      <c r="L46" s="9">
        <f>'Segmental forecast'!L11</f>
        <v>7914.0223695439972</v>
      </c>
      <c r="M46" s="9">
        <f>'Segmental forecast'!M11</f>
        <v>8301.8094656516514</v>
      </c>
      <c r="N46" s="9">
        <f>'Segmental forecast'!N11</f>
        <v>8708.5981294685826</v>
      </c>
      <c r="O46" t="s">
        <v>202</v>
      </c>
    </row>
    <row r="47" spans="1:15" x14ac:dyDescent="0.2">
      <c r="A47" t="s">
        <v>132</v>
      </c>
      <c r="B47" s="59">
        <f>'Segmental forecast'!B8</f>
        <v>606</v>
      </c>
      <c r="C47" s="59">
        <f>'Segmental forecast'!C8</f>
        <v>649</v>
      </c>
      <c r="D47" s="59">
        <f>'Segmental forecast'!D8</f>
        <v>706</v>
      </c>
      <c r="E47" s="59">
        <f>'Segmental forecast'!E8</f>
        <v>747</v>
      </c>
      <c r="F47" s="59">
        <f>'Segmental forecast'!F8</f>
        <v>705</v>
      </c>
      <c r="G47" s="59">
        <f>'Segmental forecast'!G8</f>
        <v>721</v>
      </c>
      <c r="H47" s="59">
        <f>'Segmental forecast'!H8</f>
        <v>744</v>
      </c>
      <c r="I47" s="59">
        <f>'Segmental forecast'!I8</f>
        <v>717</v>
      </c>
      <c r="J47" s="59">
        <f>'Segmental forecast'!J8</f>
        <v>752.13299999999992</v>
      </c>
      <c r="K47" s="59">
        <f>'Segmental forecast'!K8</f>
        <v>788.9875169999998</v>
      </c>
      <c r="L47" s="59">
        <f>'Segmental forecast'!L8</f>
        <v>827.6479053329997</v>
      </c>
      <c r="M47" s="59">
        <f>'Segmental forecast'!M8</f>
        <v>868.20265269431661</v>
      </c>
      <c r="N47" s="59">
        <f>'Segmental forecast'!N8</f>
        <v>910.74458267633804</v>
      </c>
      <c r="O47" t="s">
        <v>202</v>
      </c>
    </row>
    <row r="48" spans="1:15" x14ac:dyDescent="0.2">
      <c r="A48" t="s">
        <v>176</v>
      </c>
      <c r="B48" s="3">
        <f>Historicals!B108</f>
        <v>1262</v>
      </c>
      <c r="C48" s="3">
        <f>Historicals!C108</f>
        <v>748</v>
      </c>
      <c r="D48" s="3">
        <f>Historicals!D108</f>
        <v>703</v>
      </c>
      <c r="E48" s="3">
        <f>Historicals!E108</f>
        <v>529</v>
      </c>
      <c r="F48" s="3">
        <f>Historicals!F108</f>
        <v>757</v>
      </c>
      <c r="G48" s="3">
        <f>Historicals!G108</f>
        <v>1028</v>
      </c>
      <c r="H48" s="3">
        <f>Historicals!H108</f>
        <v>1177</v>
      </c>
      <c r="I48" s="3">
        <f>Historicals!I108</f>
        <v>1231</v>
      </c>
      <c r="J48" s="3">
        <v>1517</v>
      </c>
      <c r="K48" s="3">
        <v>1299</v>
      </c>
      <c r="L48" s="3">
        <v>1299</v>
      </c>
      <c r="M48" s="3">
        <v>1299</v>
      </c>
      <c r="N48" s="3">
        <v>1299</v>
      </c>
      <c r="O48" t="s">
        <v>206</v>
      </c>
    </row>
    <row r="49" spans="1:15" x14ac:dyDescent="0.2">
      <c r="A49" s="1" t="s">
        <v>177</v>
      </c>
      <c r="B49" s="9">
        <f>B46*(1-B13)</f>
        <v>3294.7940546967893</v>
      </c>
      <c r="C49" s="9">
        <f t="shared" ref="C49:N49" si="14">C46*(1-C13)</f>
        <v>3775.4531689379191</v>
      </c>
      <c r="D49" s="9">
        <f t="shared" si="14"/>
        <v>4291.19934506754</v>
      </c>
      <c r="E49" s="9">
        <f t="shared" si="14"/>
        <v>1957.1345664739886</v>
      </c>
      <c r="F49" s="9">
        <f t="shared" si="14"/>
        <v>4070.1208081649661</v>
      </c>
      <c r="G49" s="9">
        <f t="shared" si="14"/>
        <v>2617.2719085555941</v>
      </c>
      <c r="H49" s="9">
        <f t="shared" si="14"/>
        <v>5952.2625731872085</v>
      </c>
      <c r="I49" s="9">
        <f t="shared" si="14"/>
        <v>6232.3524282062854</v>
      </c>
      <c r="J49" s="9">
        <f t="shared" si="14"/>
        <v>6061.8867692129861</v>
      </c>
      <c r="K49" s="9">
        <f t="shared" si="14"/>
        <v>6565.2438312685535</v>
      </c>
      <c r="L49" s="9">
        <f t="shared" si="14"/>
        <v>6933.9603948065933</v>
      </c>
      <c r="M49" s="9">
        <f t="shared" si="14"/>
        <v>7320.8338807295831</v>
      </c>
      <c r="N49" s="9">
        <f t="shared" si="14"/>
        <v>7726.7500228971121</v>
      </c>
    </row>
    <row r="50" spans="1:15" x14ac:dyDescent="0.2">
      <c r="A50" t="s">
        <v>178</v>
      </c>
      <c r="B50" s="3">
        <f>Historicals!B107</f>
        <v>53</v>
      </c>
      <c r="C50" s="3">
        <f>Historicals!C107</f>
        <v>70</v>
      </c>
      <c r="D50" s="3">
        <f>Historicals!D107</f>
        <v>98</v>
      </c>
      <c r="E50" s="3">
        <f>Historicals!E107</f>
        <v>125</v>
      </c>
      <c r="F50" s="3">
        <f>Historicals!F107</f>
        <v>153</v>
      </c>
      <c r="G50" s="3">
        <f>Historicals!G107</f>
        <v>140</v>
      </c>
      <c r="H50" s="3">
        <f>Historicals!H107</f>
        <v>293</v>
      </c>
      <c r="I50" s="3">
        <f>Historicals!I107</f>
        <v>290</v>
      </c>
      <c r="J50" s="3">
        <v>347</v>
      </c>
      <c r="K50" s="3">
        <v>381</v>
      </c>
      <c r="L50" s="3">
        <v>381</v>
      </c>
      <c r="M50" s="3">
        <v>381</v>
      </c>
      <c r="N50" s="3">
        <v>381</v>
      </c>
      <c r="O50" t="s">
        <v>206</v>
      </c>
    </row>
    <row r="51" spans="1:15" x14ac:dyDescent="0.2">
      <c r="A51" t="s">
        <v>179</v>
      </c>
      <c r="B51" s="3">
        <f>13696-5037</f>
        <v>8659</v>
      </c>
      <c r="C51" s="3">
        <f>C23</f>
        <v>9667</v>
      </c>
      <c r="D51" s="3">
        <f t="shared" ref="D51:N51" si="15">D23</f>
        <v>10587</v>
      </c>
      <c r="E51" s="3">
        <f t="shared" si="15"/>
        <v>9094</v>
      </c>
      <c r="F51" s="3">
        <f t="shared" si="15"/>
        <v>8659</v>
      </c>
      <c r="G51" s="3">
        <f t="shared" si="15"/>
        <v>12272</v>
      </c>
      <c r="H51" s="3">
        <f t="shared" si="15"/>
        <v>16617</v>
      </c>
      <c r="I51" s="3">
        <f t="shared" si="15"/>
        <v>17483</v>
      </c>
      <c r="J51" s="3">
        <f t="shared" si="15"/>
        <v>15946</v>
      </c>
      <c r="K51" s="3">
        <f t="shared" si="15"/>
        <v>14799</v>
      </c>
      <c r="L51" s="3">
        <f t="shared" si="15"/>
        <v>14799</v>
      </c>
      <c r="M51" s="3">
        <f t="shared" si="15"/>
        <v>14799</v>
      </c>
      <c r="N51" s="3">
        <f t="shared" si="15"/>
        <v>14799</v>
      </c>
      <c r="O51" t="s">
        <v>207</v>
      </c>
    </row>
    <row r="52" spans="1:15" x14ac:dyDescent="0.2">
      <c r="A52" t="s">
        <v>135</v>
      </c>
      <c r="B52" s="3">
        <f>Historicals!B109</f>
        <v>206</v>
      </c>
      <c r="C52" s="3">
        <f>Historicals!C109</f>
        <v>252</v>
      </c>
      <c r="D52" s="3">
        <f>Historicals!D109</f>
        <v>266</v>
      </c>
      <c r="E52" s="3">
        <f>Historicals!E109</f>
        <v>294</v>
      </c>
      <c r="F52" s="3">
        <f>Historicals!F109</f>
        <v>160</v>
      </c>
      <c r="G52" s="3">
        <f>Historicals!G109</f>
        <v>121</v>
      </c>
      <c r="H52" s="3">
        <f>Historicals!H109</f>
        <v>179</v>
      </c>
      <c r="I52" s="3">
        <f>Historicals!I109</f>
        <v>160</v>
      </c>
      <c r="J52" s="3">
        <v>211</v>
      </c>
      <c r="K52">
        <v>160</v>
      </c>
      <c r="L52">
        <v>160</v>
      </c>
      <c r="M52">
        <v>160</v>
      </c>
      <c r="N52">
        <v>160</v>
      </c>
      <c r="O52" t="s">
        <v>208</v>
      </c>
    </row>
    <row r="53" spans="1:15" x14ac:dyDescent="0.2">
      <c r="A53" s="1" t="s">
        <v>180</v>
      </c>
      <c r="B53" s="9">
        <f>(B49+B47)-B52-B51</f>
        <v>-4964.2059453032107</v>
      </c>
      <c r="C53" s="9">
        <f t="shared" ref="C53:N53" si="16">(C49+C47)-C52-C51</f>
        <v>-5494.5468310620809</v>
      </c>
      <c r="D53" s="9">
        <f t="shared" si="16"/>
        <v>-5855.80065493246</v>
      </c>
      <c r="E53" s="9">
        <f t="shared" si="16"/>
        <v>-6683.8654335260117</v>
      </c>
      <c r="F53" s="9">
        <f t="shared" si="16"/>
        <v>-4043.8791918350344</v>
      </c>
      <c r="G53" s="9">
        <f t="shared" si="16"/>
        <v>-9054.7280914444054</v>
      </c>
      <c r="H53" s="9">
        <f t="shared" si="16"/>
        <v>-10099.737426812791</v>
      </c>
      <c r="I53" s="9">
        <f t="shared" si="16"/>
        <v>-10693.647571793714</v>
      </c>
      <c r="J53" s="9">
        <f t="shared" si="16"/>
        <v>-9342.9802307870141</v>
      </c>
      <c r="K53" s="9">
        <f t="shared" si="16"/>
        <v>-7604.7686517314469</v>
      </c>
      <c r="L53" s="9">
        <f t="shared" si="16"/>
        <v>-7197.3916998604072</v>
      </c>
      <c r="M53" s="9">
        <f t="shared" si="16"/>
        <v>-6769.9634665761005</v>
      </c>
      <c r="N53" s="9">
        <f t="shared" si="16"/>
        <v>-6321.5053944265492</v>
      </c>
    </row>
    <row r="54" spans="1:15" x14ac:dyDescent="0.2">
      <c r="A54" t="s">
        <v>181</v>
      </c>
      <c r="B54" s="3">
        <f>SUM(Historicals!B67:B76)</f>
        <v>1407</v>
      </c>
      <c r="C54" s="3">
        <f>SUM(Historicals!C67:C76)</f>
        <v>-664</v>
      </c>
      <c r="D54" s="3">
        <f>SUM(Historicals!D67:D76)</f>
        <v>-600</v>
      </c>
      <c r="E54" s="3">
        <f>SUM(Historicals!E67:E76)</f>
        <v>3022</v>
      </c>
      <c r="F54" s="3">
        <f>SUM(Historicals!F67:F76)</f>
        <v>1874</v>
      </c>
      <c r="G54" s="3">
        <f>SUM(Historicals!G67:G76)</f>
        <v>-54</v>
      </c>
      <c r="H54" s="3">
        <f>SUM(Historicals!H67:H76)</f>
        <v>930</v>
      </c>
      <c r="I54" s="3">
        <f>SUM(Historicals!I67:I76)</f>
        <v>-858</v>
      </c>
      <c r="J54" s="3">
        <v>-858</v>
      </c>
      <c r="K54" s="3">
        <v>-858</v>
      </c>
      <c r="L54" s="3">
        <v>-858</v>
      </c>
      <c r="M54" s="3">
        <v>-858</v>
      </c>
      <c r="N54" s="3">
        <v>-858</v>
      </c>
    </row>
    <row r="55" spans="1:15" x14ac:dyDescent="0.2">
      <c r="A55" s="27" t="s">
        <v>182</v>
      </c>
      <c r="B55" s="26">
        <f>Historicals!B77</f>
        <v>4680</v>
      </c>
      <c r="C55" s="26">
        <f>Historicals!C77</f>
        <v>3096</v>
      </c>
      <c r="D55" s="26">
        <f>Historicals!D77</f>
        <v>3640</v>
      </c>
      <c r="E55" s="26">
        <f>Historicals!E77</f>
        <v>4955</v>
      </c>
      <c r="F55" s="26">
        <f>Historicals!F77</f>
        <v>5903</v>
      </c>
      <c r="G55" s="26">
        <f>Historicals!G77</f>
        <v>2485</v>
      </c>
      <c r="H55" s="26">
        <f>Historicals!H77</f>
        <v>6657</v>
      </c>
      <c r="I55" s="26">
        <f>Historicals!I77</f>
        <v>5188</v>
      </c>
      <c r="J55" s="26">
        <v>5188</v>
      </c>
      <c r="K55" s="26">
        <v>5188</v>
      </c>
      <c r="L55" s="26">
        <v>5188</v>
      </c>
      <c r="M55" s="26">
        <v>5188</v>
      </c>
      <c r="N55" s="26">
        <v>5188</v>
      </c>
    </row>
    <row r="56" spans="1:15" x14ac:dyDescent="0.2">
      <c r="A56" t="s">
        <v>183</v>
      </c>
      <c r="B56" s="3">
        <f>'Segmental forecast'!B21</f>
        <v>13740</v>
      </c>
      <c r="C56" s="3">
        <f>'Segmental forecast'!C21</f>
        <v>14764</v>
      </c>
      <c r="D56" s="3">
        <f>'Segmental forecast'!D21</f>
        <v>15216</v>
      </c>
      <c r="E56" s="3">
        <f>'Segmental forecast'!E21</f>
        <v>14855</v>
      </c>
      <c r="F56" s="3">
        <f>'Segmental forecast'!F21</f>
        <v>15902</v>
      </c>
      <c r="G56" s="3">
        <f>'Segmental forecast'!G21</f>
        <v>14484</v>
      </c>
      <c r="H56" s="3">
        <f>'Segmental forecast'!H21</f>
        <v>17179</v>
      </c>
      <c r="I56" s="3">
        <f>'Segmental forecast'!I21</f>
        <v>18353</v>
      </c>
      <c r="J56" s="3">
        <f>'Segmental forecast'!J21</f>
        <v>19252.296999999999</v>
      </c>
      <c r="K56" s="3">
        <f>'Segmental forecast'!K21</f>
        <v>20195.659552999998</v>
      </c>
      <c r="L56" s="3">
        <f>'Segmental forecast'!L21</f>
        <v>21185.246871096995</v>
      </c>
      <c r="M56" s="3">
        <f>'Segmental forecast'!M21</f>
        <v>22223.323967780747</v>
      </c>
      <c r="N56" s="3">
        <f>'Segmental forecast'!N21</f>
        <v>23312.266842202003</v>
      </c>
    </row>
    <row r="57" spans="1:15" x14ac:dyDescent="0.2">
      <c r="A57" t="s">
        <v>184</v>
      </c>
      <c r="B57" s="3">
        <f>Historicals!B85</f>
        <v>3</v>
      </c>
      <c r="C57" s="3">
        <f>Historicals!C85</f>
        <v>6</v>
      </c>
      <c r="D57" s="3">
        <f>Historicals!D85</f>
        <v>-34</v>
      </c>
      <c r="E57" s="3">
        <f>Historicals!E85</f>
        <v>-25</v>
      </c>
      <c r="F57" s="3">
        <f>Historicals!F85</f>
        <v>5</v>
      </c>
      <c r="G57" s="3">
        <f>Historicals!G85</f>
        <v>31</v>
      </c>
      <c r="H57" s="3">
        <f>Historicals!H85</f>
        <v>171</v>
      </c>
      <c r="I57" s="3">
        <f>Historicals!I85</f>
        <v>-19</v>
      </c>
      <c r="J57" s="3">
        <v>-19</v>
      </c>
      <c r="K57" s="3">
        <v>-19</v>
      </c>
      <c r="L57" s="3">
        <v>-19</v>
      </c>
      <c r="M57" s="3">
        <v>-19</v>
      </c>
      <c r="N57" s="3">
        <v>-19</v>
      </c>
    </row>
    <row r="58" spans="1:15" x14ac:dyDescent="0.2">
      <c r="A58" s="27" t="s">
        <v>185</v>
      </c>
      <c r="B58" s="26">
        <f>Historicals!B86</f>
        <v>-175</v>
      </c>
      <c r="C58" s="26">
        <f>Historicals!C86</f>
        <v>-1034</v>
      </c>
      <c r="D58" s="26">
        <f>Historicals!D86</f>
        <v>-1008</v>
      </c>
      <c r="E58" s="26">
        <f>Historicals!E86</f>
        <v>276</v>
      </c>
      <c r="F58" s="26">
        <f>Historicals!F86</f>
        <v>-264</v>
      </c>
      <c r="G58" s="26">
        <f>Historicals!G86</f>
        <v>-1028</v>
      </c>
      <c r="H58" s="26">
        <f>Historicals!H86</f>
        <v>-3800</v>
      </c>
      <c r="I58" s="26">
        <f>Historicals!I86</f>
        <v>-1524</v>
      </c>
      <c r="J58" s="26">
        <v>-1524</v>
      </c>
      <c r="K58" s="26">
        <v>-1524</v>
      </c>
      <c r="L58" s="26">
        <v>-1524</v>
      </c>
      <c r="M58" s="26">
        <v>-1524</v>
      </c>
      <c r="N58" s="26">
        <v>-1524</v>
      </c>
    </row>
    <row r="59" spans="1:15" x14ac:dyDescent="0.2">
      <c r="A59" t="s">
        <v>186</v>
      </c>
      <c r="B59" s="3">
        <f>Historicals!B93</f>
        <v>514</v>
      </c>
      <c r="C59" s="3">
        <f>Historicals!C93</f>
        <v>507</v>
      </c>
      <c r="D59" s="3">
        <f>Historicals!D93</f>
        <v>489</v>
      </c>
      <c r="E59" s="3">
        <f>Historicals!E93</f>
        <v>733</v>
      </c>
      <c r="F59" s="3">
        <f>Historicals!F93</f>
        <v>700</v>
      </c>
      <c r="G59" s="3">
        <f>Historicals!G93</f>
        <v>885</v>
      </c>
      <c r="H59" s="3">
        <f>Historicals!H93</f>
        <v>1172</v>
      </c>
      <c r="I59" s="3">
        <f>Historicals!I93</f>
        <v>1151</v>
      </c>
      <c r="J59" s="3">
        <v>1151</v>
      </c>
      <c r="K59" s="3">
        <v>1151</v>
      </c>
      <c r="L59" s="3">
        <v>1151</v>
      </c>
      <c r="M59" s="3">
        <v>1151</v>
      </c>
      <c r="N59" s="3">
        <v>1151</v>
      </c>
    </row>
    <row r="60" spans="1:15" x14ac:dyDescent="0.2">
      <c r="A60" s="51" t="s">
        <v>129</v>
      </c>
      <c r="B60" s="56" t="str">
        <f>+IFERROR(B21/A21-1,"nm")</f>
        <v>nm</v>
      </c>
      <c r="C60" s="56">
        <f t="shared" ref="C60:N60" si="17">+IFERROR(C21/B21-1,"nm")</f>
        <v>-0.18535825545171336</v>
      </c>
      <c r="D60" s="56">
        <f t="shared" si="17"/>
        <v>0.21351179094964956</v>
      </c>
      <c r="E60" s="56">
        <f t="shared" si="17"/>
        <v>0.11580882352941169</v>
      </c>
      <c r="F60" s="56">
        <f t="shared" si="17"/>
        <v>5.107084019769359E-2</v>
      </c>
      <c r="G60" s="56">
        <f t="shared" si="17"/>
        <v>0.86923421406180035</v>
      </c>
      <c r="H60" s="56">
        <f t="shared" si="17"/>
        <v>0.18459511260182082</v>
      </c>
      <c r="I60" s="56">
        <f t="shared" si="17"/>
        <v>-0.1329760339771463</v>
      </c>
      <c r="J60" s="56">
        <f t="shared" si="17"/>
        <v>-0.13214369022626549</v>
      </c>
      <c r="K60" s="56">
        <f t="shared" si="17"/>
        <v>0.32509071361376152</v>
      </c>
      <c r="L60" s="56">
        <f t="shared" si="17"/>
        <v>0</v>
      </c>
      <c r="M60" s="56">
        <f t="shared" si="17"/>
        <v>0</v>
      </c>
      <c r="N60" s="56">
        <f t="shared" si="17"/>
        <v>0</v>
      </c>
    </row>
    <row r="61" spans="1:15" x14ac:dyDescent="0.2">
      <c r="A61" t="s">
        <v>187</v>
      </c>
      <c r="B61" s="3">
        <f>+(-Historicals!B96)</f>
        <v>899</v>
      </c>
      <c r="C61" s="3">
        <f>+(-Historicals!C96)</f>
        <v>1022</v>
      </c>
      <c r="D61" s="3">
        <f>+(-Historicals!D96)</f>
        <v>1133</v>
      </c>
      <c r="E61" s="3">
        <f>+(-Historicals!E96)</f>
        <v>1243</v>
      </c>
      <c r="F61" s="3">
        <f>+(-Historicals!F96)</f>
        <v>1332</v>
      </c>
      <c r="G61" s="3">
        <f>+(-Historicals!G96)</f>
        <v>1452</v>
      </c>
      <c r="H61" s="3">
        <f>+(-Historicals!H96)</f>
        <v>1638</v>
      </c>
      <c r="I61" s="3">
        <f>+(-Historicals!I96)</f>
        <v>1837</v>
      </c>
      <c r="J61" s="3">
        <v>1837</v>
      </c>
      <c r="K61" s="3">
        <v>1837</v>
      </c>
      <c r="L61" s="3">
        <v>1837</v>
      </c>
      <c r="M61" s="3">
        <v>1837</v>
      </c>
      <c r="N61" s="3">
        <v>1837</v>
      </c>
    </row>
    <row r="62" spans="1:15" x14ac:dyDescent="0.2">
      <c r="A62" t="s">
        <v>188</v>
      </c>
      <c r="B62" s="3">
        <f>Historicals!B88</f>
        <v>0</v>
      </c>
      <c r="C62" s="3">
        <f>Historicals!C88</f>
        <v>981</v>
      </c>
      <c r="D62" s="3">
        <f>Historicals!D88</f>
        <v>1482</v>
      </c>
      <c r="E62" s="3">
        <f>Historicals!E88</f>
        <v>0</v>
      </c>
      <c r="F62" s="3">
        <f>Historicals!F88</f>
        <v>0</v>
      </c>
      <c r="G62" s="3">
        <f>Historicals!G88</f>
        <v>6134</v>
      </c>
      <c r="H62" s="3">
        <f>Historicals!H88</f>
        <v>0</v>
      </c>
      <c r="I62" s="3">
        <f>Historicals!I88</f>
        <v>0</v>
      </c>
      <c r="J62" s="3">
        <f>Historicals!J88</f>
        <v>0</v>
      </c>
      <c r="K62" s="3">
        <f>Historicals!K88</f>
        <v>0</v>
      </c>
      <c r="L62" s="3">
        <f>Historicals!L88</f>
        <v>0</v>
      </c>
      <c r="M62" s="3">
        <f>Historicals!M88</f>
        <v>0</v>
      </c>
      <c r="N62" s="3">
        <f>Historicals!N88</f>
        <v>0</v>
      </c>
    </row>
    <row r="63" spans="1:15" x14ac:dyDescent="0.2">
      <c r="A63" t="s">
        <v>189</v>
      </c>
      <c r="B63" s="3">
        <f>Historicals!B99</f>
        <v>-2790</v>
      </c>
      <c r="C63" s="3">
        <f>Historicals!C99</f>
        <v>-2671</v>
      </c>
      <c r="D63" s="3">
        <f>Historicals!D99</f>
        <v>-1942</v>
      </c>
      <c r="E63" s="3">
        <f>Historicals!E99</f>
        <v>-4835</v>
      </c>
      <c r="F63" s="3">
        <f>Historicals!F99</f>
        <v>-5293</v>
      </c>
      <c r="G63" s="3">
        <f>Historicals!G99</f>
        <v>2491</v>
      </c>
      <c r="H63" s="3">
        <f>Historicals!H99</f>
        <v>-1459</v>
      </c>
      <c r="I63" s="3">
        <f>Historicals!I99</f>
        <v>-4836</v>
      </c>
      <c r="J63" s="3">
        <v>-4836</v>
      </c>
      <c r="K63" s="3">
        <v>-4836</v>
      </c>
      <c r="L63" s="3">
        <v>-4836</v>
      </c>
      <c r="M63" s="3">
        <v>-4836</v>
      </c>
      <c r="N63" s="3">
        <v>-4836</v>
      </c>
    </row>
    <row r="64" spans="1:15" x14ac:dyDescent="0.2">
      <c r="A64" s="27" t="s">
        <v>190</v>
      </c>
      <c r="B64" s="26">
        <f>(Historicals!B93+Historicals!B94)-(Historicals!B89+Historicals!B90+Historicals!B91+Historicals!B95+Historicals!B96)</f>
        <v>4254</v>
      </c>
      <c r="C64" s="26">
        <f>(Historicals!C93+Historicals!C94)-(Historicals!C89+Historicals!C90+Historicals!C91+Historicals!C95+Historicals!C96)</f>
        <v>5228</v>
      </c>
      <c r="D64" s="26">
        <f>(Historicals!D93+Historicals!D94)-(Historicals!D89+Historicals!D90+Historicals!D91+Historicals!D95+Historicals!D96)</f>
        <v>4756</v>
      </c>
      <c r="E64" s="26">
        <f>(Historicals!E93+Historicals!E94)-(Historicals!E89+Historicals!E90+Historicals!E91+Historicals!E95+Historicals!E96)</f>
        <v>6246</v>
      </c>
      <c r="F64" s="26">
        <f>(Historicals!F93+Historicals!F94)-(Historicals!F89+Historicals!F90+Historicals!F91+Historicals!F95+Historicals!F96)</f>
        <v>6643</v>
      </c>
      <c r="G64" s="26">
        <f>(Historicals!G93+Historicals!G94)-(Historicals!G89+Historicals!G90+Historicals!G91+Historicals!G95+Historicals!G96)</f>
        <v>5355</v>
      </c>
      <c r="H64" s="26">
        <f>(Historicals!H93+Historicals!H94)-(Historicals!H89+Historicals!H90+Historicals!H91+Historicals!H95+Historicals!H96)</f>
        <v>3470</v>
      </c>
      <c r="I64" s="26">
        <f>(Historicals!I93+Historicals!I94)-(Historicals!I89+Historicals!I90+Historicals!I91+Historicals!I95+Historicals!I96)</f>
        <v>6987</v>
      </c>
      <c r="J64" s="26">
        <f>(Historicals!J93+Historicals!J94)-(Historicals!J89+Historicals!J90+Historicals!J91+Historicals!J95+Historicals!J96)</f>
        <v>0</v>
      </c>
      <c r="K64" s="26">
        <f>(Historicals!K93+Historicals!K94)-(Historicals!K89+Historicals!K90+Historicals!K91+Historicals!K95+Historicals!K96)</f>
        <v>0</v>
      </c>
      <c r="L64" s="26">
        <f>(Historicals!L93+Historicals!L94)-(Historicals!L89+Historicals!L90+Historicals!L91+Historicals!L95+Historicals!L96)</f>
        <v>0</v>
      </c>
      <c r="M64" s="26">
        <f>(Historicals!M93+Historicals!M94)-(Historicals!M89+Historicals!M90+Historicals!M91+Historicals!M95+Historicals!M96)</f>
        <v>0</v>
      </c>
      <c r="N64" s="26">
        <f>(Historicals!N93+Historicals!N94)-(Historicals!N89+Historicals!N90+Historicals!N91+Historicals!N95+Historicals!N96)</f>
        <v>0</v>
      </c>
    </row>
    <row r="65" spans="1:15" x14ac:dyDescent="0.2">
      <c r="A65" t="s">
        <v>191</v>
      </c>
      <c r="B65" s="3">
        <f>Historicals!B100</f>
        <v>-83</v>
      </c>
      <c r="C65" s="3">
        <f>Historicals!C100</f>
        <v>-105</v>
      </c>
      <c r="D65" s="3">
        <f>Historicals!D100</f>
        <v>-20</v>
      </c>
      <c r="E65" s="3">
        <f>Historicals!E100</f>
        <v>45</v>
      </c>
      <c r="F65" s="3">
        <f>Historicals!F100</f>
        <v>-129</v>
      </c>
      <c r="G65" s="3">
        <f>Historicals!G100</f>
        <v>-66</v>
      </c>
      <c r="H65" s="3">
        <f>Historicals!H100</f>
        <v>143</v>
      </c>
      <c r="I65" s="3">
        <f>Historicals!I100</f>
        <v>-143</v>
      </c>
      <c r="J65" s="3">
        <v>-143</v>
      </c>
      <c r="K65" s="3">
        <v>-143</v>
      </c>
      <c r="L65" s="3">
        <v>-143</v>
      </c>
      <c r="M65" s="3">
        <v>-143</v>
      </c>
      <c r="N65" s="3">
        <v>-143</v>
      </c>
    </row>
    <row r="66" spans="1:15" x14ac:dyDescent="0.2">
      <c r="A66" s="27" t="s">
        <v>192</v>
      </c>
      <c r="B66" s="26">
        <f>B55+B58+B64</f>
        <v>8759</v>
      </c>
      <c r="C66" s="26">
        <f t="shared" ref="C66:N66" si="18">C55+C58+C64</f>
        <v>7290</v>
      </c>
      <c r="D66" s="26">
        <f t="shared" si="18"/>
        <v>7388</v>
      </c>
      <c r="E66" s="26">
        <f t="shared" si="18"/>
        <v>11477</v>
      </c>
      <c r="F66" s="26">
        <f t="shared" si="18"/>
        <v>12282</v>
      </c>
      <c r="G66" s="26">
        <f t="shared" si="18"/>
        <v>6812</v>
      </c>
      <c r="H66" s="26">
        <f t="shared" si="18"/>
        <v>6327</v>
      </c>
      <c r="I66" s="26">
        <f t="shared" si="18"/>
        <v>10651</v>
      </c>
      <c r="J66" s="26">
        <f t="shared" si="18"/>
        <v>3664</v>
      </c>
      <c r="K66" s="26">
        <f t="shared" si="18"/>
        <v>3664</v>
      </c>
      <c r="L66" s="26">
        <f t="shared" si="18"/>
        <v>3664</v>
      </c>
      <c r="M66" s="26">
        <f t="shared" si="18"/>
        <v>3664</v>
      </c>
      <c r="N66" s="26">
        <f t="shared" si="18"/>
        <v>3664</v>
      </c>
    </row>
    <row r="67" spans="1:15" x14ac:dyDescent="0.2">
      <c r="A67" t="s">
        <v>193</v>
      </c>
      <c r="B67" s="3">
        <f>B66-Historicals!B103</f>
        <v>4907</v>
      </c>
      <c r="C67" s="3">
        <f>C66-Historicals!C103</f>
        <v>4152</v>
      </c>
      <c r="D67" s="3">
        <f>D66-Historicals!D103</f>
        <v>3580</v>
      </c>
      <c r="E67" s="3">
        <f>E66-Historicals!E103</f>
        <v>7228</v>
      </c>
      <c r="F67" s="3">
        <f>F66-Historicals!F103</f>
        <v>7816</v>
      </c>
      <c r="G67" s="3">
        <f>G66-Historicals!G103</f>
        <v>-1536</v>
      </c>
      <c r="H67" s="3">
        <f>H66-Historicals!H103</f>
        <v>-3562</v>
      </c>
      <c r="I67" s="3">
        <f>I66-Historicals!I103</f>
        <v>2077</v>
      </c>
      <c r="J67" s="3">
        <f>J66-Historicals!J103</f>
        <v>3664</v>
      </c>
      <c r="K67" s="3">
        <f>K66-Historicals!K103</f>
        <v>3664</v>
      </c>
      <c r="L67" s="3">
        <f>L66-Historicals!L103</f>
        <v>3664</v>
      </c>
      <c r="M67" s="3">
        <f>M66-Historicals!M103</f>
        <v>3664</v>
      </c>
      <c r="N67" s="3">
        <f>N66-Historicals!N103</f>
        <v>3664</v>
      </c>
    </row>
    <row r="68" spans="1:15" ht="16" thickBot="1" x14ac:dyDescent="0.25">
      <c r="A68" s="6" t="s">
        <v>194</v>
      </c>
      <c r="B68" s="7">
        <f>SUM(B66:B67)</f>
        <v>13666</v>
      </c>
      <c r="C68" s="7">
        <f t="shared" ref="C68:N68" si="19">SUM(C66:C67)</f>
        <v>11442</v>
      </c>
      <c r="D68" s="7">
        <f t="shared" si="19"/>
        <v>10968</v>
      </c>
      <c r="E68" s="7">
        <f t="shared" si="19"/>
        <v>18705</v>
      </c>
      <c r="F68" s="7">
        <f t="shared" si="19"/>
        <v>20098</v>
      </c>
      <c r="G68" s="7">
        <f t="shared" si="19"/>
        <v>5276</v>
      </c>
      <c r="H68" s="7">
        <f t="shared" si="19"/>
        <v>2765</v>
      </c>
      <c r="I68" s="7">
        <f t="shared" si="19"/>
        <v>12728</v>
      </c>
      <c r="J68" s="7">
        <f t="shared" si="19"/>
        <v>7328</v>
      </c>
      <c r="K68" s="7">
        <f t="shared" si="19"/>
        <v>7328</v>
      </c>
      <c r="L68" s="7">
        <f t="shared" si="19"/>
        <v>7328</v>
      </c>
      <c r="M68" s="7">
        <f t="shared" si="19"/>
        <v>7328</v>
      </c>
      <c r="N68" s="7">
        <f t="shared" si="19"/>
        <v>7328</v>
      </c>
    </row>
    <row r="69" spans="1:15" ht="16" thickTop="1" x14ac:dyDescent="0.2">
      <c r="A69" s="60" t="s">
        <v>175</v>
      </c>
      <c r="B69" s="41">
        <f>+B68-B21</f>
        <v>9814</v>
      </c>
      <c r="C69" s="41">
        <f t="shared" ref="C69:N69" si="20">+C68-C21</f>
        <v>8304</v>
      </c>
      <c r="D69" s="41">
        <f t="shared" si="20"/>
        <v>7160</v>
      </c>
      <c r="E69" s="41">
        <f t="shared" si="20"/>
        <v>14456</v>
      </c>
      <c r="F69" s="41">
        <f t="shared" si="20"/>
        <v>15632</v>
      </c>
      <c r="G69" s="41">
        <f t="shared" si="20"/>
        <v>-3072</v>
      </c>
      <c r="H69" s="41">
        <f t="shared" si="20"/>
        <v>-7124</v>
      </c>
      <c r="I69" s="41">
        <f t="shared" si="20"/>
        <v>4154</v>
      </c>
      <c r="J69" s="41">
        <f t="shared" si="20"/>
        <v>-113</v>
      </c>
      <c r="K69" s="41">
        <f t="shared" si="20"/>
        <v>-2532</v>
      </c>
      <c r="L69" s="41">
        <f t="shared" si="20"/>
        <v>-2532</v>
      </c>
      <c r="M69" s="41">
        <f t="shared" si="20"/>
        <v>-2532</v>
      </c>
      <c r="N69" s="41">
        <f t="shared" si="20"/>
        <v>-2532</v>
      </c>
    </row>
    <row r="70" spans="1:15" x14ac:dyDescent="0.2">
      <c r="A70" s="1" t="s">
        <v>195</v>
      </c>
      <c r="B70" s="48">
        <f>SUM(B33:B36)-B21</f>
        <v>3561</v>
      </c>
      <c r="C70" s="48">
        <f t="shared" ref="C70:N70" si="21">SUM(C33:C36)-C21</f>
        <v>4230</v>
      </c>
      <c r="D70" s="48">
        <f t="shared" si="21"/>
        <v>5137</v>
      </c>
      <c r="E70" s="48">
        <f t="shared" si="21"/>
        <v>5259</v>
      </c>
      <c r="F70" s="48">
        <f t="shared" si="21"/>
        <v>6864</v>
      </c>
      <c r="G70" s="48">
        <f t="shared" si="21"/>
        <v>9342</v>
      </c>
      <c r="H70" s="48">
        <f t="shared" si="21"/>
        <v>9198</v>
      </c>
      <c r="I70" s="48">
        <f t="shared" si="21"/>
        <v>11076</v>
      </c>
      <c r="J70" s="48">
        <f t="shared" si="21"/>
        <v>10742</v>
      </c>
      <c r="K70" s="48">
        <f t="shared" si="21"/>
        <v>8636</v>
      </c>
      <c r="L70" s="48">
        <f t="shared" si="21"/>
        <v>8636</v>
      </c>
      <c r="M70" s="48">
        <f t="shared" si="21"/>
        <v>8636</v>
      </c>
      <c r="N70" s="48">
        <f t="shared" si="21"/>
        <v>8636</v>
      </c>
      <c r="O70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Microsoft Office User</cp:lastModifiedBy>
  <dcterms:created xsi:type="dcterms:W3CDTF">2020-05-20T17:26:08Z</dcterms:created>
  <dcterms:modified xsi:type="dcterms:W3CDTF">2024-10-24T10:26:51Z</dcterms:modified>
</cp:coreProperties>
</file>