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SajniShah/Documents/Quill Capital Partners - Investment Analyst Program/Level 2 - Financial Modelling/Task 11 - Linking Cash Flow Statement/"/>
    </mc:Choice>
  </mc:AlternateContent>
  <xr:revisionPtr revIDLastSave="0" documentId="13_ncr:1_{8F3E3CAE-0BF1-1D44-A0D3-A692C8D17D25}" xr6:coauthVersionLast="47" xr6:coauthVersionMax="47" xr10:uidLastSave="{00000000-0000-0000-0000-000000000000}"/>
  <bookViews>
    <workbookView xWindow="2960" yWindow="1040" windowWidth="26960" windowHeight="1668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4" l="1"/>
  <c r="C70" i="4" l="1"/>
  <c r="D70" i="4"/>
  <c r="E70" i="4"/>
  <c r="F70" i="4"/>
  <c r="G70" i="4"/>
  <c r="H70" i="4"/>
  <c r="I70" i="4"/>
  <c r="J70" i="4"/>
  <c r="K70" i="4"/>
  <c r="L70" i="4"/>
  <c r="M70" i="4"/>
  <c r="N70" i="4"/>
  <c r="B70" i="4"/>
  <c r="J62" i="4" l="1"/>
  <c r="L59" i="4"/>
  <c r="M59" i="4"/>
  <c r="N59" i="4"/>
  <c r="K59" i="4"/>
  <c r="J59" i="4"/>
  <c r="L56" i="4"/>
  <c r="M56" i="4"/>
  <c r="N56" i="4"/>
  <c r="K56" i="4"/>
  <c r="J56" i="4"/>
  <c r="L52" i="4"/>
  <c r="M52" i="4"/>
  <c r="N52" i="4"/>
  <c r="K52" i="4"/>
  <c r="J52" i="4"/>
  <c r="L51" i="4"/>
  <c r="M51" i="4"/>
  <c r="N51" i="4"/>
  <c r="K51" i="4"/>
  <c r="J51" i="4"/>
  <c r="L35" i="4"/>
  <c r="M35" i="4"/>
  <c r="N35" i="4"/>
  <c r="K35" i="4"/>
  <c r="J35" i="4"/>
  <c r="L25" i="4"/>
  <c r="M25" i="4"/>
  <c r="N25" i="4"/>
  <c r="K25" i="4"/>
  <c r="J25" i="4"/>
  <c r="L23" i="4"/>
  <c r="M23" i="4"/>
  <c r="N23" i="4"/>
  <c r="K23" i="4"/>
  <c r="J23" i="4"/>
  <c r="L22" i="4"/>
  <c r="M22" i="4"/>
  <c r="N22" i="4"/>
  <c r="K22" i="4"/>
  <c r="D58" i="4" l="1"/>
  <c r="E58" i="4"/>
  <c r="F58" i="4"/>
  <c r="G58" i="4"/>
  <c r="G66" i="4" s="1"/>
  <c r="H58" i="4"/>
  <c r="H66" i="4" s="1"/>
  <c r="I58" i="4"/>
  <c r="I66" i="4" s="1"/>
  <c r="J58" i="4"/>
  <c r="K58" i="4"/>
  <c r="K66" i="4" s="1"/>
  <c r="L58" i="4"/>
  <c r="M58" i="4"/>
  <c r="N58" i="4"/>
  <c r="C58" i="4"/>
  <c r="C67" i="4"/>
  <c r="D67" i="4"/>
  <c r="E67" i="4"/>
  <c r="F67" i="4"/>
  <c r="G67" i="4"/>
  <c r="H67" i="4"/>
  <c r="I67" i="4"/>
  <c r="B67" i="4"/>
  <c r="C66" i="4"/>
  <c r="E66" i="4"/>
  <c r="F66" i="4"/>
  <c r="L66" i="4"/>
  <c r="M66" i="4"/>
  <c r="N66" i="4"/>
  <c r="B66" i="4"/>
  <c r="C64" i="4"/>
  <c r="D64" i="4"/>
  <c r="E64" i="4"/>
  <c r="F64" i="4"/>
  <c r="G64" i="4"/>
  <c r="H64" i="4"/>
  <c r="I64" i="4"/>
  <c r="J64" i="4"/>
  <c r="K64" i="4"/>
  <c r="L64" i="4"/>
  <c r="M64" i="4"/>
  <c r="N64" i="4"/>
  <c r="B64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B62" i="4"/>
  <c r="C61" i="4"/>
  <c r="D61" i="4"/>
  <c r="E61" i="4"/>
  <c r="F61" i="4"/>
  <c r="G61" i="4"/>
  <c r="H61" i="4"/>
  <c r="I61" i="4"/>
  <c r="B61" i="4"/>
  <c r="C60" i="4"/>
  <c r="D60" i="4"/>
  <c r="E60" i="4"/>
  <c r="F60" i="4"/>
  <c r="G60" i="4"/>
  <c r="H60" i="4"/>
  <c r="I60" i="4"/>
  <c r="J60" i="4"/>
  <c r="K60" i="4"/>
  <c r="L60" i="4"/>
  <c r="M60" i="4"/>
  <c r="N60" i="4"/>
  <c r="B60" i="4"/>
  <c r="C59" i="4"/>
  <c r="D59" i="4"/>
  <c r="E59" i="4"/>
  <c r="F59" i="4"/>
  <c r="G59" i="4"/>
  <c r="H59" i="4"/>
  <c r="I59" i="4"/>
  <c r="B59" i="4"/>
  <c r="C57" i="4"/>
  <c r="D57" i="4"/>
  <c r="E57" i="4"/>
  <c r="F57" i="4"/>
  <c r="G57" i="4"/>
  <c r="H57" i="4"/>
  <c r="I57" i="4"/>
  <c r="B57" i="4"/>
  <c r="C56" i="4"/>
  <c r="D56" i="4"/>
  <c r="E56" i="4"/>
  <c r="F56" i="4"/>
  <c r="G56" i="4"/>
  <c r="H56" i="4"/>
  <c r="I56" i="4"/>
  <c r="B56" i="4"/>
  <c r="C52" i="4"/>
  <c r="D52" i="4"/>
  <c r="E52" i="4"/>
  <c r="F52" i="4"/>
  <c r="G52" i="4"/>
  <c r="H52" i="4"/>
  <c r="I52" i="4"/>
  <c r="B52" i="4"/>
  <c r="C51" i="4"/>
  <c r="D51" i="4"/>
  <c r="E51" i="4"/>
  <c r="F51" i="4"/>
  <c r="G51" i="4"/>
  <c r="H51" i="4"/>
  <c r="I51" i="4"/>
  <c r="B51" i="4"/>
  <c r="J43" i="4"/>
  <c r="M43" i="4"/>
  <c r="C32" i="4"/>
  <c r="D32" i="4"/>
  <c r="E32" i="4"/>
  <c r="F32" i="4"/>
  <c r="G32" i="4"/>
  <c r="H32" i="4"/>
  <c r="I32" i="4"/>
  <c r="B32" i="4"/>
  <c r="C42" i="4"/>
  <c r="D42" i="4"/>
  <c r="E42" i="4"/>
  <c r="F42" i="4"/>
  <c r="G42" i="4"/>
  <c r="H42" i="4"/>
  <c r="I42" i="4"/>
  <c r="K43" i="4"/>
  <c r="B42" i="4"/>
  <c r="C39" i="4"/>
  <c r="D39" i="4"/>
  <c r="E39" i="4"/>
  <c r="F39" i="4"/>
  <c r="G39" i="4"/>
  <c r="H39" i="4"/>
  <c r="I39" i="4"/>
  <c r="L43" i="4"/>
  <c r="B39" i="4"/>
  <c r="B38" i="4"/>
  <c r="C35" i="4"/>
  <c r="D35" i="4"/>
  <c r="E35" i="4"/>
  <c r="F35" i="4"/>
  <c r="G35" i="4"/>
  <c r="H35" i="4"/>
  <c r="I35" i="4"/>
  <c r="B35" i="4"/>
  <c r="C30" i="4"/>
  <c r="D30" i="4"/>
  <c r="E30" i="4"/>
  <c r="F30" i="4"/>
  <c r="G30" i="4"/>
  <c r="H30" i="4"/>
  <c r="I30" i="4"/>
  <c r="B30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B22" i="4"/>
  <c r="M18" i="4"/>
  <c r="N18" i="4"/>
  <c r="C16" i="4"/>
  <c r="D16" i="4"/>
  <c r="E16" i="4"/>
  <c r="F16" i="4"/>
  <c r="G16" i="4"/>
  <c r="H16" i="4"/>
  <c r="I16" i="4"/>
  <c r="C15" i="4"/>
  <c r="D15" i="4"/>
  <c r="E15" i="4"/>
  <c r="F15" i="4"/>
  <c r="G15" i="4"/>
  <c r="H15" i="4"/>
  <c r="I15" i="4"/>
  <c r="B15" i="4"/>
  <c r="C65" i="4"/>
  <c r="D65" i="4"/>
  <c r="E65" i="4"/>
  <c r="F65" i="4"/>
  <c r="G65" i="4"/>
  <c r="H65" i="4"/>
  <c r="I65" i="4"/>
  <c r="B65" i="4"/>
  <c r="C48" i="4"/>
  <c r="D48" i="4"/>
  <c r="E48" i="4"/>
  <c r="F48" i="4"/>
  <c r="G48" i="4"/>
  <c r="H48" i="4"/>
  <c r="I48" i="4"/>
  <c r="B48" i="4"/>
  <c r="J66" i="4" l="1"/>
  <c r="J69" i="4" s="1"/>
  <c r="M69" i="4"/>
  <c r="L69" i="4"/>
  <c r="K69" i="4"/>
  <c r="N69" i="4"/>
  <c r="C50" i="4"/>
  <c r="D50" i="4"/>
  <c r="E50" i="4"/>
  <c r="F50" i="4"/>
  <c r="G50" i="4"/>
  <c r="H50" i="4"/>
  <c r="I50" i="4"/>
  <c r="B50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8" i="4"/>
  <c r="D38" i="4"/>
  <c r="E38" i="4"/>
  <c r="F38" i="4"/>
  <c r="G38" i="4"/>
  <c r="H38" i="4"/>
  <c r="H43" i="4" s="1"/>
  <c r="I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B43" i="4" s="1"/>
  <c r="C33" i="4"/>
  <c r="D33" i="4"/>
  <c r="E33" i="4"/>
  <c r="F33" i="4"/>
  <c r="G33" i="4"/>
  <c r="G43" i="4" s="1"/>
  <c r="H33" i="4"/>
  <c r="I33" i="4"/>
  <c r="B33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1" i="4"/>
  <c r="D21" i="4"/>
  <c r="E21" i="4"/>
  <c r="E31" i="4" s="1"/>
  <c r="F21" i="4"/>
  <c r="G21" i="4"/>
  <c r="H21" i="4"/>
  <c r="I21" i="4"/>
  <c r="B21" i="4"/>
  <c r="N31" i="4"/>
  <c r="M31" i="4"/>
  <c r="L31" i="4"/>
  <c r="K31" i="4"/>
  <c r="J31" i="4"/>
  <c r="N17" i="4"/>
  <c r="M17" i="4"/>
  <c r="L17" i="4"/>
  <c r="K17" i="4"/>
  <c r="J17" i="4"/>
  <c r="C17" i="4"/>
  <c r="D17" i="4"/>
  <c r="E17" i="4"/>
  <c r="F17" i="4"/>
  <c r="G17" i="4"/>
  <c r="H17" i="4"/>
  <c r="I17" i="4"/>
  <c r="B17" i="4"/>
  <c r="C12" i="4"/>
  <c r="D12" i="4"/>
  <c r="E12" i="4"/>
  <c r="F12" i="4"/>
  <c r="G12" i="4"/>
  <c r="H12" i="4"/>
  <c r="I12" i="4"/>
  <c r="B12" i="4"/>
  <c r="I10" i="4"/>
  <c r="I43" i="4" l="1"/>
  <c r="N43" i="4"/>
  <c r="N44" i="4" s="1"/>
  <c r="F43" i="4"/>
  <c r="E43" i="4"/>
  <c r="E44" i="4"/>
  <c r="B18" i="4"/>
  <c r="J18" i="4"/>
  <c r="I18" i="4"/>
  <c r="K18" i="4"/>
  <c r="L18" i="4"/>
  <c r="E18" i="4"/>
  <c r="B31" i="4"/>
  <c r="B44" i="4" s="1"/>
  <c r="H18" i="4"/>
  <c r="L44" i="4"/>
  <c r="J44" i="4"/>
  <c r="D43" i="4"/>
  <c r="G18" i="4"/>
  <c r="M44" i="4"/>
  <c r="F18" i="4"/>
  <c r="D18" i="4"/>
  <c r="C18" i="4"/>
  <c r="C43" i="4"/>
  <c r="I31" i="4"/>
  <c r="K44" i="4"/>
  <c r="C31" i="4"/>
  <c r="D31" i="4"/>
  <c r="G31" i="4"/>
  <c r="G44" i="4" s="1"/>
  <c r="F31" i="4"/>
  <c r="F44" i="4" s="1"/>
  <c r="H31" i="4"/>
  <c r="H44" i="4" s="1"/>
  <c r="D44" i="4" l="1"/>
  <c r="I44" i="4"/>
  <c r="C44" i="4"/>
  <c r="C10" i="4" l="1"/>
  <c r="D10" i="4"/>
  <c r="E10" i="4"/>
  <c r="F10" i="4"/>
  <c r="G10" i="4"/>
  <c r="H10" i="4"/>
  <c r="B10" i="4"/>
  <c r="J4" i="4" l="1"/>
  <c r="K4" i="4"/>
  <c r="L4" i="4"/>
  <c r="M4" i="4"/>
  <c r="N4" i="4"/>
  <c r="I48" i="3" l="1"/>
  <c r="H48" i="3"/>
  <c r="G48" i="3"/>
  <c r="F48" i="3"/>
  <c r="E48" i="3"/>
  <c r="D48" i="3"/>
  <c r="C48" i="3"/>
  <c r="B48" i="3"/>
  <c r="B49" i="3" s="1"/>
  <c r="I45" i="3"/>
  <c r="H45" i="3"/>
  <c r="G45" i="3"/>
  <c r="F45" i="3"/>
  <c r="E45" i="3"/>
  <c r="D45" i="3"/>
  <c r="C45" i="3"/>
  <c r="B45" i="3"/>
  <c r="I42" i="3"/>
  <c r="H42" i="3"/>
  <c r="G42" i="3"/>
  <c r="F42" i="3"/>
  <c r="E42" i="3"/>
  <c r="D42" i="3"/>
  <c r="C42" i="3"/>
  <c r="B42" i="3"/>
  <c r="I38" i="3"/>
  <c r="H38" i="3"/>
  <c r="H41" i="3" s="1"/>
  <c r="G38" i="3"/>
  <c r="F38" i="3"/>
  <c r="E38" i="3"/>
  <c r="D38" i="3"/>
  <c r="C38" i="3"/>
  <c r="B38" i="3"/>
  <c r="I33" i="3"/>
  <c r="J33" i="3" s="1"/>
  <c r="K33" i="3" s="1"/>
  <c r="L33" i="3" s="1"/>
  <c r="M33" i="3" s="1"/>
  <c r="N33" i="3" s="1"/>
  <c r="H33" i="3"/>
  <c r="G33" i="3"/>
  <c r="F33" i="3"/>
  <c r="E33" i="3"/>
  <c r="D33" i="3"/>
  <c r="C33" i="3"/>
  <c r="B33" i="3"/>
  <c r="I31" i="3"/>
  <c r="J31" i="3" s="1"/>
  <c r="K31" i="3" s="1"/>
  <c r="L31" i="3" s="1"/>
  <c r="M31" i="3" s="1"/>
  <c r="N31" i="3" s="1"/>
  <c r="H31" i="3"/>
  <c r="G31" i="3"/>
  <c r="F31" i="3"/>
  <c r="E31" i="3"/>
  <c r="D31" i="3"/>
  <c r="C31" i="3"/>
  <c r="B31" i="3"/>
  <c r="B32" i="3" s="1"/>
  <c r="B34" i="3" s="1"/>
  <c r="I29" i="3"/>
  <c r="J29" i="3" s="1"/>
  <c r="K29" i="3" s="1"/>
  <c r="L29" i="3" s="1"/>
  <c r="M29" i="3" s="1"/>
  <c r="N29" i="3" s="1"/>
  <c r="H29" i="3"/>
  <c r="G29" i="3"/>
  <c r="F29" i="3"/>
  <c r="E29" i="3"/>
  <c r="D29" i="3"/>
  <c r="C29" i="3"/>
  <c r="B29" i="3"/>
  <c r="I27" i="3"/>
  <c r="J27" i="3" s="1"/>
  <c r="K27" i="3" s="1"/>
  <c r="L27" i="3" s="1"/>
  <c r="M27" i="3" s="1"/>
  <c r="N27" i="3" s="1"/>
  <c r="H27" i="3"/>
  <c r="G27" i="3"/>
  <c r="F27" i="3"/>
  <c r="E27" i="3"/>
  <c r="D27" i="3"/>
  <c r="C27" i="3"/>
  <c r="B27" i="3"/>
  <c r="B28" i="3" s="1"/>
  <c r="I25" i="3"/>
  <c r="J25" i="3" s="1"/>
  <c r="K25" i="3" s="1"/>
  <c r="L25" i="3" s="1"/>
  <c r="M25" i="3" s="1"/>
  <c r="N25" i="3" s="1"/>
  <c r="H25" i="3"/>
  <c r="G25" i="3"/>
  <c r="F25" i="3"/>
  <c r="E25" i="3"/>
  <c r="D25" i="3"/>
  <c r="C25" i="3"/>
  <c r="B25" i="3"/>
  <c r="I23" i="3"/>
  <c r="J23" i="3" s="1"/>
  <c r="K23" i="3" s="1"/>
  <c r="L23" i="3" s="1"/>
  <c r="M23" i="3" s="1"/>
  <c r="N23" i="3" s="1"/>
  <c r="H23" i="3"/>
  <c r="G23" i="3"/>
  <c r="H24" i="3" s="1"/>
  <c r="F23" i="3"/>
  <c r="E23" i="3"/>
  <c r="D23" i="3"/>
  <c r="C23" i="3"/>
  <c r="B23" i="3"/>
  <c r="B24" i="3" s="1"/>
  <c r="B26" i="3" s="1"/>
  <c r="K22" i="3"/>
  <c r="L22" i="3" s="1"/>
  <c r="M22" i="3" s="1"/>
  <c r="N22" i="3" s="1"/>
  <c r="I21" i="3"/>
  <c r="H21" i="3"/>
  <c r="G21" i="3"/>
  <c r="F21" i="3"/>
  <c r="E21" i="3"/>
  <c r="D21" i="3"/>
  <c r="C21" i="3"/>
  <c r="B21" i="3"/>
  <c r="B22" i="3" s="1"/>
  <c r="A20" i="3"/>
  <c r="I17" i="3"/>
  <c r="H17" i="3"/>
  <c r="G17" i="3"/>
  <c r="F17" i="3"/>
  <c r="E17" i="3"/>
  <c r="D17" i="3"/>
  <c r="C17" i="3"/>
  <c r="B17" i="3"/>
  <c r="B18" i="3" s="1"/>
  <c r="I14" i="3"/>
  <c r="I15" i="3" s="1"/>
  <c r="H14" i="3"/>
  <c r="G14" i="3"/>
  <c r="F14" i="3"/>
  <c r="E14" i="3"/>
  <c r="D14" i="3"/>
  <c r="C14" i="3"/>
  <c r="B14" i="3"/>
  <c r="B15" i="3" s="1"/>
  <c r="I11" i="3"/>
  <c r="I46" i="4" s="1"/>
  <c r="I49" i="4" s="1"/>
  <c r="H11" i="3"/>
  <c r="G11" i="3"/>
  <c r="F11" i="3"/>
  <c r="F46" i="4" s="1"/>
  <c r="F49" i="4" s="1"/>
  <c r="E11" i="3"/>
  <c r="D11" i="3"/>
  <c r="D46" i="4" s="1"/>
  <c r="D49" i="4" s="1"/>
  <c r="D53" i="4" s="1"/>
  <c r="C11" i="3"/>
  <c r="C46" i="4" s="1"/>
  <c r="C49" i="4" s="1"/>
  <c r="B11" i="3"/>
  <c r="B46" i="4" s="1"/>
  <c r="B49" i="4" s="1"/>
  <c r="I8" i="3"/>
  <c r="H8" i="3"/>
  <c r="G8" i="3"/>
  <c r="F8" i="3"/>
  <c r="E8" i="3"/>
  <c r="E47" i="4" s="1"/>
  <c r="D8" i="3"/>
  <c r="D47" i="4" s="1"/>
  <c r="C8" i="3"/>
  <c r="C47" i="4" s="1"/>
  <c r="B8" i="3"/>
  <c r="B47" i="4" s="1"/>
  <c r="I3" i="3"/>
  <c r="I3" i="4" s="1"/>
  <c r="I24" i="4" s="1"/>
  <c r="H3" i="3"/>
  <c r="H3" i="4" s="1"/>
  <c r="H24" i="4" s="1"/>
  <c r="G3" i="3"/>
  <c r="G3" i="4" s="1"/>
  <c r="G24" i="4" s="1"/>
  <c r="F3" i="3"/>
  <c r="E3" i="3"/>
  <c r="D3" i="3"/>
  <c r="D3" i="4" s="1"/>
  <c r="D24" i="4" s="1"/>
  <c r="C3" i="3"/>
  <c r="C3" i="4" s="1"/>
  <c r="C24" i="4" s="1"/>
  <c r="B3" i="3"/>
  <c r="B3" i="4" s="1"/>
  <c r="B24" i="4" s="1"/>
  <c r="L1" i="3"/>
  <c r="M1" i="3" s="1"/>
  <c r="N1" i="3" s="1"/>
  <c r="J1" i="3"/>
  <c r="K1" i="3" s="1"/>
  <c r="H1" i="3"/>
  <c r="G1" i="3"/>
  <c r="F1" i="3" s="1"/>
  <c r="E1" i="3"/>
  <c r="D1" i="3"/>
  <c r="C1" i="3"/>
  <c r="B1" i="3"/>
  <c r="G40" i="3" l="1"/>
  <c r="C39" i="3"/>
  <c r="H6" i="4"/>
  <c r="H47" i="4"/>
  <c r="H7" i="4"/>
  <c r="H11" i="4" s="1"/>
  <c r="H14" i="4" s="1"/>
  <c r="H19" i="4" s="1"/>
  <c r="H46" i="4"/>
  <c r="H49" i="4" s="1"/>
  <c r="H53" i="4" s="1"/>
  <c r="G28" i="3"/>
  <c r="G30" i="3" s="1"/>
  <c r="B53" i="4"/>
  <c r="I22" i="3"/>
  <c r="I6" i="4"/>
  <c r="I47" i="4"/>
  <c r="I53" i="4" s="1"/>
  <c r="B41" i="3"/>
  <c r="G44" i="3"/>
  <c r="H46" i="3"/>
  <c r="C53" i="4"/>
  <c r="F43" i="3"/>
  <c r="E7" i="4"/>
  <c r="E11" i="4" s="1"/>
  <c r="E46" i="4"/>
  <c r="E49" i="4" s="1"/>
  <c r="E53" i="4" s="1"/>
  <c r="E18" i="3"/>
  <c r="F6" i="4"/>
  <c r="F47" i="4"/>
  <c r="F53" i="4"/>
  <c r="H40" i="3"/>
  <c r="H35" i="3"/>
  <c r="H37" i="3" s="1"/>
  <c r="H47" i="3"/>
  <c r="G6" i="4"/>
  <c r="G47" i="4"/>
  <c r="G7" i="4"/>
  <c r="G11" i="4" s="1"/>
  <c r="G13" i="4" s="1"/>
  <c r="G46" i="4"/>
  <c r="G49" i="4" s="1"/>
  <c r="G53" i="4" s="1"/>
  <c r="E28" i="3"/>
  <c r="E30" i="3" s="1"/>
  <c r="I43" i="3"/>
  <c r="E14" i="4"/>
  <c r="E19" i="4" s="1"/>
  <c r="E13" i="4"/>
  <c r="G14" i="4"/>
  <c r="G19" i="4" s="1"/>
  <c r="D39" i="3"/>
  <c r="F16" i="3"/>
  <c r="F19" i="3"/>
  <c r="F41" i="3"/>
  <c r="H43" i="3"/>
  <c r="H15" i="3"/>
  <c r="H39" i="3"/>
  <c r="I47" i="3"/>
  <c r="J47" i="3" s="1"/>
  <c r="K47" i="3" s="1"/>
  <c r="L47" i="3" s="1"/>
  <c r="M47" i="3" s="1"/>
  <c r="N47" i="3" s="1"/>
  <c r="J21" i="3"/>
  <c r="C41" i="3"/>
  <c r="F13" i="3"/>
  <c r="F9" i="4" s="1"/>
  <c r="C40" i="3"/>
  <c r="G5" i="3"/>
  <c r="G5" i="4" s="1"/>
  <c r="G9" i="3"/>
  <c r="H44" i="3"/>
  <c r="E24" i="3"/>
  <c r="E26" i="3" s="1"/>
  <c r="I50" i="3"/>
  <c r="J50" i="3" s="1"/>
  <c r="K50" i="3" s="1"/>
  <c r="L50" i="3" s="1"/>
  <c r="M50" i="3" s="1"/>
  <c r="N50" i="3" s="1"/>
  <c r="D10" i="3"/>
  <c r="D6" i="4"/>
  <c r="B12" i="3"/>
  <c r="B8" i="4" s="1"/>
  <c r="B7" i="4"/>
  <c r="B11" i="4" s="1"/>
  <c r="C12" i="3"/>
  <c r="C8" i="4" s="1"/>
  <c r="B47" i="3"/>
  <c r="B30" i="3"/>
  <c r="F32" i="3"/>
  <c r="F34" i="3" s="1"/>
  <c r="G41" i="3"/>
  <c r="I46" i="3"/>
  <c r="D15" i="3"/>
  <c r="G22" i="3"/>
  <c r="B39" i="3"/>
  <c r="G46" i="3"/>
  <c r="E4" i="3"/>
  <c r="E4" i="4" s="1"/>
  <c r="E3" i="4"/>
  <c r="E24" i="4" s="1"/>
  <c r="B5" i="3"/>
  <c r="B6" i="3" s="1"/>
  <c r="E9" i="3"/>
  <c r="E6" i="4"/>
  <c r="C13" i="3"/>
  <c r="C9" i="4" s="1"/>
  <c r="C7" i="4"/>
  <c r="C11" i="4" s="1"/>
  <c r="D12" i="3"/>
  <c r="D8" i="4" s="1"/>
  <c r="H22" i="3"/>
  <c r="H26" i="3"/>
  <c r="F10" i="3"/>
  <c r="F3" i="4"/>
  <c r="F24" i="4" s="1"/>
  <c r="D5" i="3"/>
  <c r="D5" i="4" s="1"/>
  <c r="D13" i="3"/>
  <c r="D9" i="4" s="1"/>
  <c r="D7" i="4"/>
  <c r="D11" i="4" s="1"/>
  <c r="C28" i="3"/>
  <c r="C30" i="3" s="1"/>
  <c r="F28" i="3"/>
  <c r="F30" i="3" s="1"/>
  <c r="I44" i="3"/>
  <c r="G12" i="3"/>
  <c r="G8" i="4" s="1"/>
  <c r="F7" i="4"/>
  <c r="F11" i="4" s="1"/>
  <c r="F40" i="3"/>
  <c r="C4" i="3"/>
  <c r="C4" i="4" s="1"/>
  <c r="I5" i="3"/>
  <c r="I5" i="4" s="1"/>
  <c r="I7" i="4"/>
  <c r="D4" i="3"/>
  <c r="D4" i="4" s="1"/>
  <c r="F5" i="3"/>
  <c r="F5" i="4" s="1"/>
  <c r="I18" i="3"/>
  <c r="F22" i="3"/>
  <c r="C49" i="3"/>
  <c r="I49" i="3"/>
  <c r="B4" i="3"/>
  <c r="B4" i="4" s="1"/>
  <c r="B9" i="3"/>
  <c r="B6" i="4"/>
  <c r="F9" i="3"/>
  <c r="F18" i="3"/>
  <c r="I24" i="3"/>
  <c r="I26" i="3" s="1"/>
  <c r="J26" i="3" s="1"/>
  <c r="K26" i="3" s="1"/>
  <c r="L26" i="3" s="1"/>
  <c r="M26" i="3" s="1"/>
  <c r="N26" i="3" s="1"/>
  <c r="C32" i="3"/>
  <c r="C34" i="3" s="1"/>
  <c r="E35" i="3"/>
  <c r="C50" i="3"/>
  <c r="D9" i="3"/>
  <c r="C6" i="4"/>
  <c r="I40" i="3"/>
  <c r="G43" i="3"/>
  <c r="G4" i="3"/>
  <c r="G4" i="4" s="1"/>
  <c r="G10" i="3"/>
  <c r="G13" i="3"/>
  <c r="G9" i="4" s="1"/>
  <c r="F15" i="3"/>
  <c r="H4" i="3"/>
  <c r="H4" i="4" s="1"/>
  <c r="H16" i="3"/>
  <c r="B10" i="3"/>
  <c r="H13" i="3"/>
  <c r="H9" i="4" s="1"/>
  <c r="H12" i="3"/>
  <c r="H8" i="4" s="1"/>
  <c r="H5" i="3"/>
  <c r="H5" i="4" s="1"/>
  <c r="E16" i="3"/>
  <c r="G32" i="3"/>
  <c r="G34" i="3" s="1"/>
  <c r="F4" i="3"/>
  <c r="F4" i="4" s="1"/>
  <c r="H10" i="3"/>
  <c r="H9" i="3"/>
  <c r="E15" i="3"/>
  <c r="G16" i="3"/>
  <c r="G19" i="3"/>
  <c r="H18" i="3"/>
  <c r="G18" i="3"/>
  <c r="K21" i="3"/>
  <c r="C24" i="3"/>
  <c r="C26" i="3" s="1"/>
  <c r="D24" i="3"/>
  <c r="D26" i="3" s="1"/>
  <c r="H28" i="3"/>
  <c r="H30" i="3" s="1"/>
  <c r="I28" i="3"/>
  <c r="I30" i="3" s="1"/>
  <c r="J30" i="3" s="1"/>
  <c r="K30" i="3" s="1"/>
  <c r="L30" i="3" s="1"/>
  <c r="M30" i="3" s="1"/>
  <c r="N30" i="3" s="1"/>
  <c r="D49" i="3"/>
  <c r="D41" i="3"/>
  <c r="D50" i="3"/>
  <c r="E50" i="3"/>
  <c r="E49" i="3"/>
  <c r="D6" i="3"/>
  <c r="G15" i="3"/>
  <c r="D22" i="3"/>
  <c r="D40" i="3"/>
  <c r="E10" i="3"/>
  <c r="E13" i="3"/>
  <c r="E9" i="4" s="1"/>
  <c r="E5" i="3"/>
  <c r="E5" i="4" s="1"/>
  <c r="F12" i="3"/>
  <c r="F8" i="4" s="1"/>
  <c r="E12" i="3"/>
  <c r="E8" i="4" s="1"/>
  <c r="C19" i="3"/>
  <c r="C18" i="3"/>
  <c r="H19" i="3"/>
  <c r="D35" i="3"/>
  <c r="D43" i="3"/>
  <c r="D44" i="3"/>
  <c r="E46" i="3"/>
  <c r="E47" i="3"/>
  <c r="F49" i="3"/>
  <c r="B50" i="3"/>
  <c r="B19" i="3"/>
  <c r="F24" i="3"/>
  <c r="F26" i="3" s="1"/>
  <c r="H32" i="3"/>
  <c r="H34" i="3" s="1"/>
  <c r="I32" i="3"/>
  <c r="I34" i="3" s="1"/>
  <c r="J34" i="3" s="1"/>
  <c r="K34" i="3" s="1"/>
  <c r="L34" i="3" s="1"/>
  <c r="M34" i="3" s="1"/>
  <c r="N34" i="3" s="1"/>
  <c r="D46" i="3"/>
  <c r="D47" i="3"/>
  <c r="B16" i="3"/>
  <c r="J3" i="3"/>
  <c r="J3" i="4" s="1"/>
  <c r="J24" i="4" s="1"/>
  <c r="I4" i="3"/>
  <c r="I4" i="4" s="1"/>
  <c r="I16" i="3"/>
  <c r="J16" i="3" s="1"/>
  <c r="K16" i="3" s="1"/>
  <c r="L16" i="3" s="1"/>
  <c r="M16" i="3" s="1"/>
  <c r="N16" i="3" s="1"/>
  <c r="I19" i="3"/>
  <c r="J19" i="3" s="1"/>
  <c r="K19" i="3" s="1"/>
  <c r="L19" i="3" s="1"/>
  <c r="M19" i="3" s="1"/>
  <c r="N19" i="3" s="1"/>
  <c r="C9" i="3"/>
  <c r="C5" i="3"/>
  <c r="C5" i="4" s="1"/>
  <c r="C10" i="3"/>
  <c r="I13" i="3"/>
  <c r="I9" i="4" s="1"/>
  <c r="E22" i="3"/>
  <c r="E40" i="3"/>
  <c r="G24" i="3"/>
  <c r="G26" i="3" s="1"/>
  <c r="C43" i="3"/>
  <c r="C35" i="3"/>
  <c r="C44" i="3"/>
  <c r="I10" i="3"/>
  <c r="J10" i="3" s="1"/>
  <c r="K10" i="3" s="1"/>
  <c r="L10" i="3" s="1"/>
  <c r="M10" i="3" s="1"/>
  <c r="N10" i="3" s="1"/>
  <c r="I12" i="3"/>
  <c r="I8" i="4" s="1"/>
  <c r="D16" i="3"/>
  <c r="E19" i="3"/>
  <c r="I9" i="3"/>
  <c r="C15" i="3"/>
  <c r="C16" i="3"/>
  <c r="I35" i="3"/>
  <c r="B40" i="3"/>
  <c r="I39" i="3"/>
  <c r="B43" i="3"/>
  <c r="B35" i="3"/>
  <c r="C46" i="3"/>
  <c r="B13" i="3"/>
  <c r="B9" i="4" s="1"/>
  <c r="D18" i="3"/>
  <c r="D19" i="3"/>
  <c r="F39" i="3"/>
  <c r="I41" i="3"/>
  <c r="J41" i="3" s="1"/>
  <c r="F44" i="3"/>
  <c r="G47" i="3"/>
  <c r="B46" i="3"/>
  <c r="G50" i="3"/>
  <c r="E44" i="3"/>
  <c r="C22" i="3"/>
  <c r="D32" i="3"/>
  <c r="D34" i="3" s="1"/>
  <c r="F35" i="3"/>
  <c r="G39" i="3"/>
  <c r="H50" i="3"/>
  <c r="G49" i="3"/>
  <c r="D28" i="3"/>
  <c r="D30" i="3" s="1"/>
  <c r="E41" i="3"/>
  <c r="F47" i="3"/>
  <c r="F50" i="3"/>
  <c r="E32" i="3"/>
  <c r="E34" i="3" s="1"/>
  <c r="G35" i="3"/>
  <c r="E39" i="3"/>
  <c r="E43" i="3"/>
  <c r="B44" i="3"/>
  <c r="F46" i="3"/>
  <c r="C47" i="3"/>
  <c r="H49" i="3"/>
  <c r="I185" i="1"/>
  <c r="I188" i="1" s="1"/>
  <c r="I189" i="1" s="1"/>
  <c r="H185" i="1"/>
  <c r="H188" i="1" s="1"/>
  <c r="H189" i="1" s="1"/>
  <c r="G185" i="1"/>
  <c r="G188" i="1" s="1"/>
  <c r="G189" i="1" s="1"/>
  <c r="F185" i="1"/>
  <c r="F188" i="1" s="1"/>
  <c r="F189" i="1" s="1"/>
  <c r="E185" i="1"/>
  <c r="E188" i="1" s="1"/>
  <c r="E189" i="1" s="1"/>
  <c r="D180" i="1"/>
  <c r="D185" i="1" s="1"/>
  <c r="D188" i="1" s="1"/>
  <c r="D189" i="1" s="1"/>
  <c r="C180" i="1"/>
  <c r="C185" i="1" s="1"/>
  <c r="C188" i="1" s="1"/>
  <c r="C189" i="1" s="1"/>
  <c r="B180" i="1"/>
  <c r="B185" i="1" s="1"/>
  <c r="B188" i="1" s="1"/>
  <c r="B189" i="1" s="1"/>
  <c r="I173" i="1"/>
  <c r="I175" i="1" s="1"/>
  <c r="H173" i="1"/>
  <c r="G173" i="1"/>
  <c r="F173" i="1"/>
  <c r="E173" i="1"/>
  <c r="D168" i="1"/>
  <c r="D173" i="1" s="1"/>
  <c r="C168" i="1"/>
  <c r="C173" i="1" s="1"/>
  <c r="B168" i="1"/>
  <c r="B173" i="1" s="1"/>
  <c r="I161" i="1"/>
  <c r="I164" i="1" s="1"/>
  <c r="I165" i="1" s="1"/>
  <c r="H161" i="1"/>
  <c r="H164" i="1" s="1"/>
  <c r="H165" i="1" s="1"/>
  <c r="G161" i="1"/>
  <c r="G164" i="1" s="1"/>
  <c r="G165" i="1" s="1"/>
  <c r="F161" i="1"/>
  <c r="F164" i="1" s="1"/>
  <c r="F165" i="1" s="1"/>
  <c r="E161" i="1"/>
  <c r="E164" i="1" s="1"/>
  <c r="E165" i="1" s="1"/>
  <c r="D156" i="1"/>
  <c r="D161" i="1" s="1"/>
  <c r="D164" i="1" s="1"/>
  <c r="D165" i="1" s="1"/>
  <c r="C156" i="1"/>
  <c r="C161" i="1" s="1"/>
  <c r="C164" i="1" s="1"/>
  <c r="C165" i="1" s="1"/>
  <c r="B156" i="1"/>
  <c r="B161" i="1" s="1"/>
  <c r="B164" i="1" s="1"/>
  <c r="B165" i="1" s="1"/>
  <c r="I149" i="1"/>
  <c r="I152" i="1" s="1"/>
  <c r="H149" i="1"/>
  <c r="H152" i="1" s="1"/>
  <c r="G149" i="1"/>
  <c r="G152" i="1" s="1"/>
  <c r="F149" i="1"/>
  <c r="F152" i="1" s="1"/>
  <c r="E149" i="1"/>
  <c r="E152" i="1" s="1"/>
  <c r="D149" i="1"/>
  <c r="D152" i="1" s="1"/>
  <c r="C149" i="1"/>
  <c r="C152" i="1" s="1"/>
  <c r="B144" i="1"/>
  <c r="B149" i="1" s="1"/>
  <c r="B152" i="1" s="1"/>
  <c r="I141" i="1"/>
  <c r="H141" i="1"/>
  <c r="G141" i="1"/>
  <c r="F141" i="1"/>
  <c r="E141" i="1"/>
  <c r="D141" i="1"/>
  <c r="C141" i="1"/>
  <c r="I134" i="1"/>
  <c r="H134" i="1"/>
  <c r="D133" i="1"/>
  <c r="D140" i="1" s="1"/>
  <c r="C133" i="1"/>
  <c r="C140" i="1" s="1"/>
  <c r="I124" i="1"/>
  <c r="H124" i="1"/>
  <c r="G124" i="1"/>
  <c r="F124" i="1"/>
  <c r="E124" i="1"/>
  <c r="B124" i="1"/>
  <c r="I120" i="1"/>
  <c r="H120" i="1"/>
  <c r="G120" i="1"/>
  <c r="F120" i="1"/>
  <c r="E120" i="1"/>
  <c r="B120" i="1"/>
  <c r="C119" i="1"/>
  <c r="B119" i="1"/>
  <c r="C118" i="1"/>
  <c r="B118" i="1"/>
  <c r="C117" i="1"/>
  <c r="B117" i="1"/>
  <c r="I116" i="1"/>
  <c r="H116" i="1"/>
  <c r="G116" i="1"/>
  <c r="F116" i="1"/>
  <c r="E116" i="1"/>
  <c r="I112" i="1"/>
  <c r="H112" i="1"/>
  <c r="G112" i="1"/>
  <c r="F112" i="1"/>
  <c r="E112" i="1"/>
  <c r="B112" i="1"/>
  <c r="G102" i="1"/>
  <c r="F102" i="1"/>
  <c r="E102" i="1"/>
  <c r="D102" i="1"/>
  <c r="C102" i="1"/>
  <c r="B102" i="1"/>
  <c r="I97" i="1"/>
  <c r="H97" i="1"/>
  <c r="G97" i="1"/>
  <c r="F97" i="1"/>
  <c r="E97" i="1"/>
  <c r="D97" i="1"/>
  <c r="C97" i="1"/>
  <c r="B97" i="1"/>
  <c r="I84" i="1"/>
  <c r="H84" i="1"/>
  <c r="G84" i="1"/>
  <c r="F84" i="1"/>
  <c r="E84" i="1"/>
  <c r="D84" i="1"/>
  <c r="C84" i="1"/>
  <c r="B84" i="1"/>
  <c r="B58" i="4" s="1"/>
  <c r="G76" i="1"/>
  <c r="G54" i="4" s="1"/>
  <c r="F76" i="1"/>
  <c r="E76" i="1"/>
  <c r="E54" i="4" s="1"/>
  <c r="D76" i="1"/>
  <c r="D54" i="4" s="1"/>
  <c r="D55" i="4" s="1"/>
  <c r="D66" i="4" s="1"/>
  <c r="C76" i="1"/>
  <c r="C54" i="4" s="1"/>
  <c r="B76" i="1"/>
  <c r="B54" i="4" s="1"/>
  <c r="I58" i="1"/>
  <c r="H58" i="1"/>
  <c r="G58" i="1"/>
  <c r="F58" i="1"/>
  <c r="E58" i="1"/>
  <c r="D58" i="1"/>
  <c r="C58" i="1"/>
  <c r="B58" i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G20" i="1" s="1"/>
  <c r="F4" i="1"/>
  <c r="E4" i="1"/>
  <c r="D4" i="1"/>
  <c r="D10" i="1" s="1"/>
  <c r="D12" i="1" s="1"/>
  <c r="D20" i="1" s="1"/>
  <c r="C4" i="1"/>
  <c r="C10" i="1" s="1"/>
  <c r="C12" i="1" s="1"/>
  <c r="C20" i="1" s="1"/>
  <c r="B4" i="1"/>
  <c r="B10" i="1" s="1"/>
  <c r="B12" i="1" s="1"/>
  <c r="B20" i="1" s="1"/>
  <c r="H1" i="1"/>
  <c r="G1" i="1" s="1"/>
  <c r="F1" i="1" s="1"/>
  <c r="E1" i="1" s="1"/>
  <c r="D1" i="1" s="1"/>
  <c r="C1" i="1" s="1"/>
  <c r="B1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F54" i="4" l="1"/>
  <c r="J48" i="3"/>
  <c r="H13" i="4"/>
  <c r="J45" i="3"/>
  <c r="J46" i="3" s="1"/>
  <c r="F7" i="3"/>
  <c r="I133" i="1"/>
  <c r="I140" i="1" s="1"/>
  <c r="B141" i="1" s="1"/>
  <c r="F10" i="1"/>
  <c r="F12" i="1" s="1"/>
  <c r="F20" i="1" s="1"/>
  <c r="B116" i="1"/>
  <c r="B133" i="1" s="1"/>
  <c r="B140" i="1" s="1"/>
  <c r="H133" i="1"/>
  <c r="H140" i="1" s="1"/>
  <c r="D59" i="1"/>
  <c r="H59" i="1"/>
  <c r="C59" i="1"/>
  <c r="C60" i="1" s="1"/>
  <c r="E59" i="1"/>
  <c r="E60" i="1" s="1"/>
  <c r="B99" i="1"/>
  <c r="B55" i="4"/>
  <c r="B68" i="4" s="1"/>
  <c r="B69" i="4" s="1"/>
  <c r="I59" i="1"/>
  <c r="I60" i="1" s="1"/>
  <c r="F133" i="1"/>
  <c r="F140" i="1" s="1"/>
  <c r="E10" i="1"/>
  <c r="E12" i="1" s="1"/>
  <c r="E20" i="1" s="1"/>
  <c r="B59" i="1"/>
  <c r="B60" i="1" s="1"/>
  <c r="G133" i="1"/>
  <c r="G140" i="1" s="1"/>
  <c r="D99" i="1"/>
  <c r="D68" i="4"/>
  <c r="D69" i="4" s="1"/>
  <c r="C99" i="1"/>
  <c r="C55" i="4"/>
  <c r="C68" i="4" s="1"/>
  <c r="C69" i="4" s="1"/>
  <c r="F59" i="1"/>
  <c r="F60" i="1" s="1"/>
  <c r="E99" i="1"/>
  <c r="E55" i="4"/>
  <c r="E68" i="4" s="1"/>
  <c r="E69" i="4" s="1"/>
  <c r="G59" i="1"/>
  <c r="G60" i="1" s="1"/>
  <c r="F99" i="1"/>
  <c r="F55" i="4"/>
  <c r="F68" i="4" s="1"/>
  <c r="F69" i="4" s="1"/>
  <c r="G99" i="1"/>
  <c r="G55" i="4"/>
  <c r="E133" i="1"/>
  <c r="E140" i="1" s="1"/>
  <c r="B13" i="4"/>
  <c r="B14" i="4"/>
  <c r="D14" i="4"/>
  <c r="D19" i="4" s="1"/>
  <c r="D13" i="4"/>
  <c r="C14" i="4"/>
  <c r="C19" i="4" s="1"/>
  <c r="C13" i="4"/>
  <c r="F14" i="4"/>
  <c r="F19" i="4" s="1"/>
  <c r="F13" i="4"/>
  <c r="G7" i="3"/>
  <c r="E36" i="3"/>
  <c r="D7" i="3"/>
  <c r="I7" i="3"/>
  <c r="J7" i="3" s="1"/>
  <c r="K7" i="3" s="1"/>
  <c r="L7" i="3" s="1"/>
  <c r="M7" i="3" s="1"/>
  <c r="N7" i="3" s="1"/>
  <c r="E37" i="3"/>
  <c r="B7" i="3"/>
  <c r="B5" i="4"/>
  <c r="G6" i="3"/>
  <c r="G36" i="3"/>
  <c r="G37" i="3"/>
  <c r="F36" i="3"/>
  <c r="F37" i="3"/>
  <c r="K41" i="3"/>
  <c r="J38" i="3"/>
  <c r="H36" i="3"/>
  <c r="K3" i="3"/>
  <c r="K3" i="4" s="1"/>
  <c r="K24" i="4" s="1"/>
  <c r="J14" i="3"/>
  <c r="J15" i="3" s="1"/>
  <c r="J17" i="3"/>
  <c r="J18" i="3" s="1"/>
  <c r="J8" i="3"/>
  <c r="J47" i="4" s="1"/>
  <c r="I37" i="3"/>
  <c r="J37" i="3" s="1"/>
  <c r="I36" i="3"/>
  <c r="E6" i="3"/>
  <c r="E7" i="3"/>
  <c r="H6" i="3"/>
  <c r="H7" i="3"/>
  <c r="K45" i="3"/>
  <c r="K46" i="3" s="1"/>
  <c r="K48" i="3"/>
  <c r="L49" i="3" s="1"/>
  <c r="L21" i="3"/>
  <c r="I6" i="3"/>
  <c r="C7" i="3"/>
  <c r="C6" i="3"/>
  <c r="D36" i="3"/>
  <c r="D37" i="3"/>
  <c r="B37" i="3"/>
  <c r="B36" i="3"/>
  <c r="C37" i="3"/>
  <c r="C36" i="3"/>
  <c r="F6" i="3"/>
  <c r="K49" i="3"/>
  <c r="J49" i="3"/>
  <c r="D175" i="1"/>
  <c r="D176" i="1" s="1"/>
  <c r="D177" i="1" s="1"/>
  <c r="H153" i="1"/>
  <c r="H64" i="1"/>
  <c r="H76" i="1" s="1"/>
  <c r="H54" i="4" s="1"/>
  <c r="H20" i="1"/>
  <c r="I64" i="1"/>
  <c r="I76" i="1" s="1"/>
  <c r="I54" i="4" s="1"/>
  <c r="I20" i="1"/>
  <c r="I153" i="1"/>
  <c r="B153" i="1"/>
  <c r="G153" i="1"/>
  <c r="C153" i="1"/>
  <c r="H60" i="1"/>
  <c r="D153" i="1"/>
  <c r="H176" i="1"/>
  <c r="H177" i="1" s="1"/>
  <c r="D60" i="1"/>
  <c r="F153" i="1"/>
  <c r="E175" i="1"/>
  <c r="E176" i="1" s="1"/>
  <c r="E177" i="1" s="1"/>
  <c r="F175" i="1"/>
  <c r="F176" i="1" s="1"/>
  <c r="F177" i="1" s="1"/>
  <c r="G175" i="1"/>
  <c r="G176" i="1" s="1"/>
  <c r="G177" i="1" s="1"/>
  <c r="I176" i="1"/>
  <c r="I177" i="1" s="1"/>
  <c r="H175" i="1"/>
  <c r="B175" i="1"/>
  <c r="B176" i="1" s="1"/>
  <c r="B177" i="1" s="1"/>
  <c r="C175" i="1"/>
  <c r="C176" i="1" s="1"/>
  <c r="C177" i="1" s="1"/>
  <c r="J5" i="3" l="1"/>
  <c r="J5" i="4" s="1"/>
  <c r="B16" i="4"/>
  <c r="B19" i="4"/>
  <c r="I99" i="1"/>
  <c r="G68" i="4"/>
  <c r="G69" i="4" s="1"/>
  <c r="H99" i="1"/>
  <c r="H101" i="1" s="1"/>
  <c r="I100" i="1" s="1"/>
  <c r="I101" i="1" s="1"/>
  <c r="I102" i="1" s="1"/>
  <c r="H55" i="4"/>
  <c r="E153" i="1"/>
  <c r="J9" i="3"/>
  <c r="J6" i="4"/>
  <c r="L48" i="3"/>
  <c r="M49" i="3" s="1"/>
  <c r="M21" i="3"/>
  <c r="L45" i="3"/>
  <c r="L46" i="3" s="1"/>
  <c r="J11" i="3"/>
  <c r="J6" i="3"/>
  <c r="L41" i="3"/>
  <c r="K38" i="3"/>
  <c r="K37" i="3"/>
  <c r="J35" i="3"/>
  <c r="J40" i="3"/>
  <c r="J39" i="3"/>
  <c r="L3" i="3"/>
  <c r="L3" i="4" s="1"/>
  <c r="L24" i="4" s="1"/>
  <c r="K14" i="3"/>
  <c r="K15" i="3" s="1"/>
  <c r="K5" i="3"/>
  <c r="K5" i="4" s="1"/>
  <c r="K17" i="3"/>
  <c r="K18" i="3" s="1"/>
  <c r="K8" i="3"/>
  <c r="K47" i="4" s="1"/>
  <c r="J7" i="4" l="1"/>
  <c r="J11" i="4" s="1"/>
  <c r="J46" i="4"/>
  <c r="J49" i="4" s="1"/>
  <c r="J53" i="4" s="1"/>
  <c r="J54" i="4" s="1"/>
  <c r="H102" i="1"/>
  <c r="H68" i="4"/>
  <c r="H69" i="4" s="1"/>
  <c r="I68" i="4"/>
  <c r="I69" i="4" s="1"/>
  <c r="J14" i="4"/>
  <c r="J19" i="4" s="1"/>
  <c r="J13" i="4"/>
  <c r="K9" i="3"/>
  <c r="K6" i="4"/>
  <c r="K40" i="3"/>
  <c r="K39" i="3"/>
  <c r="M3" i="3"/>
  <c r="M3" i="4" s="1"/>
  <c r="M24" i="4" s="1"/>
  <c r="L17" i="3"/>
  <c r="L18" i="3" s="1"/>
  <c r="L5" i="3"/>
  <c r="L5" i="4" s="1"/>
  <c r="L14" i="3"/>
  <c r="L15" i="3" s="1"/>
  <c r="L8" i="3"/>
  <c r="L47" i="4" s="1"/>
  <c r="J42" i="3"/>
  <c r="J36" i="3"/>
  <c r="K11" i="3"/>
  <c r="K6" i="3"/>
  <c r="M41" i="3"/>
  <c r="L38" i="3"/>
  <c r="J12" i="3"/>
  <c r="J8" i="4" s="1"/>
  <c r="J13" i="3"/>
  <c r="J9" i="4" s="1"/>
  <c r="N21" i="3"/>
  <c r="M45" i="3"/>
  <c r="M46" i="3" s="1"/>
  <c r="M48" i="3"/>
  <c r="N49" i="3" s="1"/>
  <c r="L37" i="3"/>
  <c r="K35" i="3"/>
  <c r="K7" i="4" l="1"/>
  <c r="K11" i="4" s="1"/>
  <c r="K46" i="4"/>
  <c r="K49" i="4" s="1"/>
  <c r="K53" i="4" s="1"/>
  <c r="K54" i="4" s="1"/>
  <c r="K13" i="4"/>
  <c r="K14" i="4"/>
  <c r="K19" i="4" s="1"/>
  <c r="L9" i="3"/>
  <c r="L6" i="4"/>
  <c r="J43" i="3"/>
  <c r="J44" i="3"/>
  <c r="N45" i="3"/>
  <c r="N46" i="3" s="1"/>
  <c r="N48" i="3"/>
  <c r="K36" i="3"/>
  <c r="K42" i="3"/>
  <c r="M5" i="3"/>
  <c r="M5" i="4" s="1"/>
  <c r="M8" i="3"/>
  <c r="M47" i="4" s="1"/>
  <c r="M17" i="3"/>
  <c r="M18" i="3" s="1"/>
  <c r="N3" i="3"/>
  <c r="N3" i="4" s="1"/>
  <c r="N24" i="4" s="1"/>
  <c r="M14" i="3"/>
  <c r="M15" i="3" s="1"/>
  <c r="L40" i="3"/>
  <c r="L39" i="3"/>
  <c r="K13" i="3"/>
  <c r="K9" i="4" s="1"/>
  <c r="K12" i="3"/>
  <c r="K8" i="4" s="1"/>
  <c r="L11" i="3"/>
  <c r="L6" i="3"/>
  <c r="M37" i="3"/>
  <c r="L35" i="3"/>
  <c r="N41" i="3"/>
  <c r="M38" i="3"/>
  <c r="L7" i="4" l="1"/>
  <c r="L11" i="4" s="1"/>
  <c r="L46" i="4"/>
  <c r="L49" i="4" s="1"/>
  <c r="L53" i="4" s="1"/>
  <c r="L54" i="4" s="1"/>
  <c r="N38" i="3"/>
  <c r="N40" i="3" s="1"/>
  <c r="L13" i="4"/>
  <c r="L14" i="4"/>
  <c r="L19" i="4" s="1"/>
  <c r="M9" i="3"/>
  <c r="M6" i="4"/>
  <c r="M6" i="3"/>
  <c r="M11" i="3"/>
  <c r="K43" i="3"/>
  <c r="K44" i="3"/>
  <c r="M40" i="3"/>
  <c r="M39" i="3"/>
  <c r="N39" i="3"/>
  <c r="N37" i="3"/>
  <c r="N35" i="3" s="1"/>
  <c r="M35" i="3"/>
  <c r="N8" i="3"/>
  <c r="N47" i="4" s="1"/>
  <c r="N17" i="3"/>
  <c r="N18" i="3" s="1"/>
  <c r="N5" i="3"/>
  <c r="N5" i="4" s="1"/>
  <c r="N14" i="3"/>
  <c r="N15" i="3" s="1"/>
  <c r="L36" i="3"/>
  <c r="L42" i="3"/>
  <c r="L13" i="3"/>
  <c r="L9" i="4" s="1"/>
  <c r="L12" i="3"/>
  <c r="L8" i="4" s="1"/>
  <c r="M7" i="4" l="1"/>
  <c r="M11" i="4" s="1"/>
  <c r="M46" i="4"/>
  <c r="M49" i="4" s="1"/>
  <c r="M53" i="4" s="1"/>
  <c r="M54" i="4" s="1"/>
  <c r="M13" i="4"/>
  <c r="M14" i="4"/>
  <c r="M19" i="4" s="1"/>
  <c r="N9" i="3"/>
  <c r="N6" i="4"/>
  <c r="L44" i="3"/>
  <c r="L43" i="3"/>
  <c r="N6" i="3"/>
  <c r="N11" i="3"/>
  <c r="M36" i="3"/>
  <c r="M42" i="3"/>
  <c r="M13" i="3"/>
  <c r="M9" i="4" s="1"/>
  <c r="M12" i="3"/>
  <c r="M8" i="4" s="1"/>
  <c r="N36" i="3"/>
  <c r="N42" i="3"/>
  <c r="N7" i="4" l="1"/>
  <c r="N11" i="4" s="1"/>
  <c r="N13" i="4" s="1"/>
  <c r="N46" i="4"/>
  <c r="N49" i="4" s="1"/>
  <c r="N53" i="4" s="1"/>
  <c r="N54" i="4" s="1"/>
  <c r="N14" i="4"/>
  <c r="N19" i="4" s="1"/>
  <c r="M44" i="3"/>
  <c r="M43" i="3"/>
  <c r="N44" i="3"/>
  <c r="N43" i="3"/>
  <c r="N13" i="3"/>
  <c r="N9" i="4" s="1"/>
  <c r="N12" i="3"/>
  <c r="N8" i="4" s="1"/>
  <c r="I11" i="4"/>
  <c r="I14" i="4" l="1"/>
  <c r="I19" i="4" s="1"/>
  <c r="I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5" authorId="0" shapeId="0" xr:uid="{AF4CB323-8C98-6843-A1CD-A9877A3071C4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<sst xmlns="http://schemas.openxmlformats.org/spreadsheetml/2006/main" count="374" uniqueCount="216">
  <si>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</si>
  <si>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</si>
  <si>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</si>
  <si>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</si>
  <si>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</si>
  <si>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</si>
  <si>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</si>
  <si>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</si>
  <si>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</si>
  <si>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</si>
  <si>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</si>
  <si>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</si>
  <si>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</si>
  <si>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</si>
  <si>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</si>
  <si>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</si>
  <si>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</si>
  <si>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</si>
  <si>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</si>
  <si>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</si>
  <si>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</si>
  <si>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</si>
  <si>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</si>
  <si>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</si>
  <si>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</si>
  <si>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</si>
  <si>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</si>
  <si>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</si>
  <si>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</si>
  <si>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</si>
  <si>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</si>
  <si>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</si>
  <si>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</si>
  <si>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</si>
  <si>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</si>
  <si>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</si>
  <si>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</si>
  <si>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</si>
  <si>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</si>
  <si>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</si>
  <si>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</si>
  <si>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</si>
  <si>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</si>
  <si>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</si>
  <si>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</si>
  <si>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</si>
  <si>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</si>
  <si>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</si>
  <si>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</si>
  <si>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</si>
  <si>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</si>
  <si>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</si>
  <si>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</si>
  <si>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</si>
  <si>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</si>
  <si>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</si>
  <si>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</si>
  <si>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</si>
  <si>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</si>
  <si>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</si>
  <si>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</si>
  <si>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</si>
  <si>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</si>
  <si>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</si>
  <si>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</si>
  <si>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</si>
  <si>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</si>
  <si>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</si>
  <si>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</si>
  <si>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</si>
  <si>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</si>
  <si>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</si>
  <si>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</si>
  <si>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</si>
  <si>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</si>
  <si>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</si>
  <si>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</si>
  <si>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</si>
  <si>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</si>
  <si>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</si>
  <si>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</si>
  <si>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</si>
  <si>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</si>
  <si>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</si>
  <si>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</si>
  <si>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</si>
  <si>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</si>
  <si>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</si>
  <si>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</si>
  <si>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</si>
  <si>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</si>
  <si>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</si>
  <si>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</si>
  <si>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</si>
  <si>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</si>
  <si>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</si>
  <si>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</si>
  <si>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</si>
  <si>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</si>
  <si>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</si>
  <si>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</si>
  <si>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</si>
  <si>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</si>
  <si>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</si>
  <si>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</si>
  <si>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</si>
  <si>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</si>
  <si>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</si>
  <si>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</si>
  <si>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</si>
  <si>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</si>
  <si>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</si>
  <si>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</si>
  <si>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</si>
  <si>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</si>
  <si>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</si>
  <si>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</si>
  <si>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</si>
  <si>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</si>
  <si>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</si>
  <si>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</si>
  <si>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</si>
  <si>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</si>
  <si>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</si>
  <si>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</si>
  <si>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</si>
  <si>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</si>
  <si>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</si>
  <si>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</si>
  <si>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</si>
  <si>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</si>
  <si>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</si>
  <si>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</si>
  <si>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</si>
  <si>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</si>
  <si>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</si>
  <si>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</si>
  <si>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</si>
  <si>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</si>
  <si>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</si>
  <si>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</si>
  <si>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</si>
  <si>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</si>
  <si>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</si>
  <si>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</si>
  <si>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</si>
  <si>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</si>
  <si>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</si>
  <si>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</si>
  <si>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</si>
  <si>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</si>
  <si>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</si>
  <si>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</si>
  <si>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</si>
  <si>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</si>
  <si>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</si>
  <si>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</si>
  <si>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</si>
  <si>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</si>
  <si>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</si>
  <si>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</si>
  <si>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</si>
  <si>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</si>
  <si>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</si>
  <si>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</si>
  <si>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</si>
  <si>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</si>
  <si>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</si>
  <si>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</si>
  <si>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</si>
  <si>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</si>
  <si>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</si>
  <si>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</si>
  <si>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</si>
  <si>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</si>
  <si>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</si>
  <si>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</si>
  <si>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</si>
  <si>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</si>
  <si>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</si>
  <si>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</si>
  <si>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</si>
  <si>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</si>
  <si>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</si>
  <si>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</si>
  <si>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</si>
  <si>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</si>
  <si>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</si>
  <si>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</si>
  <si>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</si>
  <si>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</si>
  <si>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</si>
  <si>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</si>
  <si>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</si>
  <si>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</si>
  <si>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</si>
  <si>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</si>
  <si>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</si>
  <si>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</si>
  <si>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</si>
  <si>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</si>
  <si>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</si>
  <si>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</si>
  <si>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</si>
  <si>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</si>
  <si>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</si>
  <si>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</si>
  <si>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</si>
  <si>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</si>
  <si>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Disposals of property, plant and equipment</t>
  </si>
  <si>
    <t>Long-term debt payments, including current portion</t>
  </si>
  <si>
    <t>Payments on capital lease obligations</t>
  </si>
  <si>
    <t>Excess tax benefits from share-based payment arrangments</t>
  </si>
  <si>
    <t>Tax payments for net share settlement of equity awards</t>
  </si>
  <si>
    <t>Emerging Markets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</si>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</sst>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43" fontId="0" fillId="0" borderId="0" xfId="1" applyFont="1"/>
    <xf numFmtId="165" fontId="0" fillId="0" borderId="0" xfId="0" applyNumberFormat="1"/>
    <xf numFmtId="43" fontId="5" fillId="0" borderId="0" xfId="1" applyFont="1" applyBorder="1"/>
    <xf numFmtId="165" fontId="0" fillId="0" borderId="0" xfId="1" applyNumberFormat="1" applyFont="1" applyAlignment="1">
      <alignment horizontal="center"/>
    </xf>
    <xf numFmtId="165" fontId="15" fillId="0" borderId="0" xfId="0" applyNumberFormat="1" applyFont="1"/>
    <xf numFmtId="166" fontId="11" fillId="0" borderId="0" xfId="2" applyNumberFormat="1" applyFont="1" applyAlignment="1">
      <alignment horizontal="center"/>
    </xf>
    <xf numFmtId="165" fontId="5" fillId="0" borderId="0" xfId="1" applyNumberFormat="1" applyFont="1" applyBorder="1"/>
    <xf numFmtId="0" fontId="16" fillId="0" borderId="0" xfId="0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ajniShah/Documents/Quill%20Capital%20Partners%20-%20Investment%20Analyst%20Program/Level%202%20-%20Financial%20Modelling/Task%2010%20-%20Linking%20Balance%20Sheet/Completed_1709895789_Task%2010%20-%20Linking%20Balance%20sheet.xlsx" TargetMode="External"/><Relationship Id="rId1" Type="http://schemas.openxmlformats.org/officeDocument/2006/relationships/externalLinkPath" Target="/Users/SajniShah/Documents/Quill%20Capital%20Partners%20-%20Investment%20Analyst%20Program/Level%202%20-%20Financial%20Modelling/Task%2010%20-%20Linking%20Balance%20Sheet/Completed_1709895789_Task%2010%20-%20Linking%20Balance%20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/Users/SajniShah/Documents/Quill%20Capital%20Partners%20-%20Investment%20Analyst%20Program/Level%202%20-%20Financial%20Modelling/Task%209%20-%20Building%20Operational%20Forecast%20Model/Completed_1710155371_Task%209%20-%20Building%20Operational%20Forecast%20Model.xlsx" TargetMode="External"/><Relationship Id="rId2" Type="http://schemas.microsoft.com/office/2019/04/relationships/externalLinkLongPath" Target="/Users/SajniShah/Documents/Quill%20Capital%20Partners%20-%20Investment%20Analyst%20Program/Level%202%20-%20Financial%20Modelling/Task%209%20-%20Building%20Operational%20Forecast%20Model/Completed_1710155371_Task%209%20-%20Building%20Operational%20Forecast%20Model.xlsx?12335228" TargetMode="External"/><Relationship Id="rId1" Type="http://schemas.openxmlformats.org/officeDocument/2006/relationships/externalLinkPath" Target="file:///12335228/Completed_1710155371_Task%209%20-%20Building%20Operational%20Forecas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114">
          <cell r="B114">
            <v>13740</v>
          </cell>
          <cell r="C114">
            <v>14764</v>
          </cell>
          <cell r="D114">
            <v>15216</v>
          </cell>
          <cell r="E114">
            <v>14855</v>
          </cell>
          <cell r="F114">
            <v>15902</v>
          </cell>
          <cell r="G114">
            <v>14484</v>
          </cell>
          <cell r="H114">
            <v>17179</v>
          </cell>
          <cell r="I114">
            <v>18353</v>
          </cell>
        </row>
        <row r="115">
          <cell r="B115">
            <v>8506</v>
          </cell>
          <cell r="C115">
            <v>9299</v>
          </cell>
          <cell r="D115">
            <v>9684</v>
          </cell>
          <cell r="E115">
            <v>9322</v>
          </cell>
          <cell r="F115">
            <v>10045</v>
          </cell>
          <cell r="G115">
            <v>9329</v>
          </cell>
          <cell r="H115">
            <v>11644</v>
          </cell>
          <cell r="I115">
            <v>12228</v>
          </cell>
        </row>
        <row r="116">
          <cell r="B116">
            <v>4410</v>
          </cell>
          <cell r="C116">
            <v>4746</v>
          </cell>
          <cell r="D116">
            <v>4866</v>
          </cell>
          <cell r="E116">
            <v>4938</v>
          </cell>
          <cell r="F116">
            <v>5260</v>
          </cell>
          <cell r="G116">
            <v>4639</v>
          </cell>
          <cell r="H116">
            <v>5028</v>
          </cell>
          <cell r="I116">
            <v>5492</v>
          </cell>
        </row>
        <row r="117">
          <cell r="B117">
            <v>824</v>
          </cell>
          <cell r="C117">
            <v>719</v>
          </cell>
          <cell r="D117">
            <v>646</v>
          </cell>
          <cell r="E117">
            <v>595</v>
          </cell>
          <cell r="F117">
            <v>597</v>
          </cell>
          <cell r="G117">
            <v>516</v>
          </cell>
          <cell r="H117">
            <v>507</v>
          </cell>
          <cell r="I117">
            <v>633</v>
          </cell>
        </row>
        <row r="142">
          <cell r="B142">
            <v>30601</v>
          </cell>
          <cell r="C142">
            <v>32376</v>
          </cell>
          <cell r="D142">
            <v>34350</v>
          </cell>
          <cell r="E142">
            <v>36397</v>
          </cell>
          <cell r="F142">
            <v>39117</v>
          </cell>
          <cell r="G142">
            <v>37403</v>
          </cell>
          <cell r="H142">
            <v>44538</v>
          </cell>
          <cell r="I142">
            <v>46710</v>
          </cell>
        </row>
        <row r="145">
          <cell r="B145">
            <v>3645</v>
          </cell>
          <cell r="C145">
            <v>3763</v>
          </cell>
          <cell r="D145">
            <v>3875</v>
          </cell>
          <cell r="E145">
            <v>3600</v>
          </cell>
          <cell r="F145">
            <v>3925</v>
          </cell>
          <cell r="G145">
            <v>2899</v>
          </cell>
          <cell r="H145">
            <v>5089</v>
          </cell>
          <cell r="I145">
            <v>5114</v>
          </cell>
        </row>
        <row r="154">
          <cell r="B154">
            <v>4233</v>
          </cell>
          <cell r="C154">
            <v>4642</v>
          </cell>
          <cell r="D154">
            <v>4945</v>
          </cell>
          <cell r="E154">
            <v>4379</v>
          </cell>
          <cell r="F154">
            <v>4850</v>
          </cell>
          <cell r="G154">
            <v>2976</v>
          </cell>
          <cell r="H154">
            <v>6923</v>
          </cell>
          <cell r="I154">
            <v>6856</v>
          </cell>
        </row>
        <row r="157">
          <cell r="B157">
            <v>632</v>
          </cell>
          <cell r="C157">
            <v>742</v>
          </cell>
          <cell r="D157">
            <v>819</v>
          </cell>
          <cell r="E157">
            <v>848</v>
          </cell>
          <cell r="F157">
            <v>814</v>
          </cell>
          <cell r="G157">
            <v>645</v>
          </cell>
          <cell r="H157">
            <v>617</v>
          </cell>
          <cell r="I157">
            <v>639</v>
          </cell>
        </row>
        <row r="166">
          <cell r="B166">
            <v>3011</v>
          </cell>
          <cell r="C166">
            <v>3520</v>
          </cell>
          <cell r="D166">
            <v>3989</v>
          </cell>
          <cell r="E166">
            <v>4454</v>
          </cell>
          <cell r="F166">
            <v>4744</v>
          </cell>
          <cell r="G166">
            <v>4866</v>
          </cell>
          <cell r="H166">
            <v>4904</v>
          </cell>
          <cell r="I166">
            <v>4791</v>
          </cell>
        </row>
        <row r="169">
          <cell r="B169">
            <v>208</v>
          </cell>
          <cell r="C169">
            <v>242</v>
          </cell>
          <cell r="D169">
            <v>223</v>
          </cell>
          <cell r="E169">
            <v>196</v>
          </cell>
          <cell r="F169">
            <v>117</v>
          </cell>
          <cell r="G169">
            <v>110</v>
          </cell>
          <cell r="H169">
            <v>98</v>
          </cell>
          <cell r="I169">
            <v>146</v>
          </cell>
        </row>
        <row r="178">
          <cell r="B178">
            <v>963</v>
          </cell>
          <cell r="C178">
            <v>1143</v>
          </cell>
          <cell r="D178">
            <v>1105</v>
          </cell>
          <cell r="E178">
            <v>1028</v>
          </cell>
          <cell r="F178">
            <v>1119</v>
          </cell>
          <cell r="G178">
            <v>1086</v>
          </cell>
          <cell r="H178">
            <v>695</v>
          </cell>
          <cell r="I178">
            <v>758</v>
          </cell>
        </row>
        <row r="181">
          <cell r="B181">
            <v>121</v>
          </cell>
          <cell r="C181">
            <v>133</v>
          </cell>
          <cell r="D181">
            <v>140</v>
          </cell>
          <cell r="E181">
            <v>160</v>
          </cell>
          <cell r="F181">
            <v>149</v>
          </cell>
          <cell r="G181">
            <v>148</v>
          </cell>
          <cell r="H181">
            <v>130</v>
          </cell>
          <cell r="I181">
            <v>124</v>
          </cell>
        </row>
        <row r="190">
          <cell r="B190">
            <v>606</v>
          </cell>
          <cell r="C190">
            <v>649</v>
          </cell>
          <cell r="D190">
            <v>706</v>
          </cell>
          <cell r="E190">
            <v>747</v>
          </cell>
          <cell r="F190">
            <v>705</v>
          </cell>
          <cell r="G190">
            <v>721</v>
          </cell>
          <cell r="H190">
            <v>744</v>
          </cell>
          <cell r="I190">
            <v>717</v>
          </cell>
        </row>
        <row r="195">
          <cell r="B195">
            <v>0.14000000000000001</v>
          </cell>
          <cell r="C195">
            <v>0.1</v>
          </cell>
          <cell r="D195">
            <v>0.04</v>
          </cell>
          <cell r="E195">
            <v>-0.04</v>
          </cell>
          <cell r="F195">
            <v>0.08</v>
          </cell>
          <cell r="G195">
            <v>-7.0000000000000007E-2</v>
          </cell>
          <cell r="H195">
            <v>0.25</v>
          </cell>
          <cell r="I195">
            <v>0.05</v>
          </cell>
        </row>
        <row r="196">
          <cell r="B196">
            <v>0.12</v>
          </cell>
          <cell r="C196">
            <v>0.08</v>
          </cell>
          <cell r="D196">
            <v>0.03</v>
          </cell>
          <cell r="E196">
            <v>0.01</v>
          </cell>
          <cell r="F196">
            <v>7.0000000000000007E-2</v>
          </cell>
          <cell r="G196">
            <v>-0.12</v>
          </cell>
          <cell r="H196">
            <v>0.08</v>
          </cell>
          <cell r="I196">
            <v>0.09</v>
          </cell>
        </row>
        <row r="197">
          <cell r="B197">
            <v>-0.05</v>
          </cell>
          <cell r="C197">
            <v>-0.13</v>
          </cell>
          <cell r="D197">
            <v>-0.1</v>
          </cell>
          <cell r="E197">
            <v>-0.08</v>
          </cell>
          <cell r="F197">
            <v>0</v>
          </cell>
          <cell r="G197">
            <v>-0.14000000000000001</v>
          </cell>
          <cell r="H197">
            <v>-0.02</v>
          </cell>
          <cell r="I197">
            <v>0.25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Sheet1"/>
      <sheetName val="Historicals"/>
      <sheetName val="Segmental forecast"/>
    </sheetNames>
    <sheetDataSet>
      <sheetData sheetId="0"/>
      <sheetData sheetId="1">
        <row r="114">
          <cell r="A114" t="str">
            <v>North America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="120" zoomScaleNormal="120" workbookViewId="0">
      <selection activeCell="A22" sqref="A22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201</v>
      </c>
    </row>
    <row r="3" spans="1:1" ht="16" x14ac:dyDescent="0.2">
      <c r="A3" s="38" t="s">
        <v>199</v>
      </c>
    </row>
    <row r="4" spans="1:1" ht="16" x14ac:dyDescent="0.2">
      <c r="A4" s="19" t="s">
        <v>200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21"/>
  <sheetViews>
    <sheetView workbookViewId="0">
      <pane ySplit="1" topLeftCell="A80" activePane="bottomLeft" state="frozen"/>
      <selection pane="bottomLeft" activeCell="D72" sqref="D72:D75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3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3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3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3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3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3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3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13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3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3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  <c r="M10" s="58"/>
    </row>
    <row r="11" spans="1:13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3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13" ht="16" thickTop="1" x14ac:dyDescent="0.2">
      <c r="A13" s="1" t="s">
        <v>8</v>
      </c>
    </row>
    <row r="14" spans="1:13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3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3" x14ac:dyDescent="0.2">
      <c r="A16" s="1" t="s">
        <v>9</v>
      </c>
    </row>
    <row r="17" spans="1:11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11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11" s="12" customFormat="1" x14ac:dyDescent="0.2">
      <c r="A20" s="12" t="s">
        <v>2</v>
      </c>
      <c r="B20" s="13">
        <f>+ROUND(((B12/B18)-B15),2)</f>
        <v>0</v>
      </c>
      <c r="C20" s="13">
        <f t="shared" ref="C20:H20" si="5">+ROUND(((C12/C18)-C15),2)</f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11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1" x14ac:dyDescent="0.2">
      <c r="A23" s="1" t="s">
        <v>30</v>
      </c>
    </row>
    <row r="24" spans="1:11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1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11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11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11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11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11" x14ac:dyDescent="0.2">
      <c r="A30" s="4" t="s">
        <v>10</v>
      </c>
      <c r="B30" s="5">
        <f t="shared" ref="B30:I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 t="shared" si="6"/>
        <v>28213</v>
      </c>
    </row>
    <row r="31" spans="1:11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11" x14ac:dyDescent="0.2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  <c r="K32" s="58"/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x14ac:dyDescent="0.2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209</v>
      </c>
      <c r="B82" s="3">
        <v>0</v>
      </c>
      <c r="C82" s="3">
        <v>10</v>
      </c>
      <c r="D82" s="3">
        <v>13</v>
      </c>
      <c r="E82" s="3">
        <v>3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2">
      <c r="A83" s="2" t="s">
        <v>79</v>
      </c>
      <c r="B83" s="3">
        <v>-147</v>
      </c>
      <c r="C83" s="3">
        <v>166</v>
      </c>
      <c r="D83" s="3">
        <v>-21</v>
      </c>
      <c r="E83" s="3">
        <v>-22</v>
      </c>
      <c r="F83" s="3">
        <v>5</v>
      </c>
      <c r="G83" s="3">
        <v>31</v>
      </c>
      <c r="H83" s="3">
        <v>171</v>
      </c>
      <c r="I83" s="3">
        <v>-19</v>
      </c>
    </row>
    <row r="84" spans="1:9" x14ac:dyDescent="0.2">
      <c r="A84" s="27" t="s">
        <v>80</v>
      </c>
      <c r="B84" s="26">
        <f t="shared" ref="B84:I84" si="13">+SUM(B78:B83)</f>
        <v>-175</v>
      </c>
      <c r="C84" s="26">
        <f t="shared" si="13"/>
        <v>-1024</v>
      </c>
      <c r="D84" s="26">
        <f t="shared" si="13"/>
        <v>-995</v>
      </c>
      <c r="E84" s="26">
        <f t="shared" si="13"/>
        <v>279</v>
      </c>
      <c r="F84" s="26">
        <f t="shared" si="13"/>
        <v>-264</v>
      </c>
      <c r="G84" s="26">
        <f t="shared" si="13"/>
        <v>-1028</v>
      </c>
      <c r="H84" s="26">
        <f t="shared" si="13"/>
        <v>-3800</v>
      </c>
      <c r="I84" s="26">
        <f t="shared" si="13"/>
        <v>-1524</v>
      </c>
    </row>
    <row r="85" spans="1:9" x14ac:dyDescent="0.2">
      <c r="A85" s="1" t="s">
        <v>81</v>
      </c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2" t="s">
        <v>82</v>
      </c>
      <c r="B86" s="3">
        <v>0</v>
      </c>
      <c r="C86" s="3">
        <v>981</v>
      </c>
      <c r="D86" s="3">
        <v>1482</v>
      </c>
      <c r="E86" s="3">
        <v>0</v>
      </c>
      <c r="F86" s="3">
        <v>0</v>
      </c>
      <c r="G86" s="3">
        <v>6134</v>
      </c>
      <c r="H86" s="3">
        <v>0</v>
      </c>
      <c r="I86" s="3">
        <v>0</v>
      </c>
    </row>
    <row r="87" spans="1:9" x14ac:dyDescent="0.2">
      <c r="A87" s="2" t="s">
        <v>210</v>
      </c>
      <c r="B87" s="3">
        <v>-7</v>
      </c>
      <c r="C87" s="3">
        <v>-106</v>
      </c>
      <c r="D87" s="3">
        <v>-44</v>
      </c>
      <c r="E87" s="3">
        <v>-6</v>
      </c>
      <c r="F87" s="3">
        <v>0</v>
      </c>
      <c r="G87" s="3">
        <v>0</v>
      </c>
      <c r="H87" s="3">
        <v>0</v>
      </c>
      <c r="I87" s="3">
        <v>0</v>
      </c>
    </row>
    <row r="88" spans="1:9" x14ac:dyDescent="0.2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">
      <c r="A89" s="2" t="s">
        <v>211</v>
      </c>
      <c r="B89" s="3">
        <v>-19</v>
      </c>
      <c r="C89" s="3">
        <v>-7</v>
      </c>
      <c r="D89" s="3">
        <v>-17</v>
      </c>
      <c r="E89" s="3">
        <v>-23</v>
      </c>
      <c r="F89" s="3">
        <v>0</v>
      </c>
      <c r="G89" s="3">
        <v>0</v>
      </c>
      <c r="H89" s="3">
        <v>0</v>
      </c>
      <c r="I89" s="3">
        <v>0</v>
      </c>
    </row>
    <row r="90" spans="1:9" x14ac:dyDescent="0.2">
      <c r="A90" s="2" t="s">
        <v>84</v>
      </c>
      <c r="B90" s="3">
        <v>-7</v>
      </c>
      <c r="C90" s="3">
        <v>-106</v>
      </c>
      <c r="D90" s="3">
        <v>-44</v>
      </c>
      <c r="E90" s="3">
        <v>-6</v>
      </c>
      <c r="F90" s="3">
        <v>0</v>
      </c>
      <c r="G90" s="3">
        <v>0</v>
      </c>
      <c r="H90" s="3">
        <v>-197</v>
      </c>
      <c r="I90" s="3">
        <v>0</v>
      </c>
    </row>
    <row r="91" spans="1:9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">
      <c r="A92" s="2" t="s">
        <v>212</v>
      </c>
      <c r="B92" s="3">
        <v>218</v>
      </c>
      <c r="C92" s="3">
        <v>281</v>
      </c>
      <c r="D92" s="3">
        <v>177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">
      <c r="A95" s="2" t="s">
        <v>87</v>
      </c>
      <c r="B95" s="3">
        <v>199</v>
      </c>
      <c r="C95" s="3">
        <v>274</v>
      </c>
      <c r="D95" s="3">
        <v>-46</v>
      </c>
      <c r="E95" s="3">
        <v>-78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" t="s">
        <v>213</v>
      </c>
      <c r="B96" s="3">
        <v>0</v>
      </c>
      <c r="C96" s="3">
        <v>0</v>
      </c>
      <c r="D96" s="3">
        <v>0</v>
      </c>
      <c r="E96" s="3">
        <v>-55</v>
      </c>
      <c r="F96" s="3">
        <v>0</v>
      </c>
      <c r="G96" s="3">
        <v>0</v>
      </c>
      <c r="H96" s="3">
        <v>0</v>
      </c>
      <c r="I96" s="3">
        <v>0</v>
      </c>
    </row>
    <row r="97" spans="1:9" x14ac:dyDescent="0.2">
      <c r="A97" s="27" t="s">
        <v>88</v>
      </c>
      <c r="B97" s="26">
        <f t="shared" ref="B97:H97" si="14">+SUM(B86:B96)</f>
        <v>-2598</v>
      </c>
      <c r="C97" s="26">
        <f t="shared" si="14"/>
        <v>-2503</v>
      </c>
      <c r="D97" s="26">
        <f t="shared" si="14"/>
        <v>-2032</v>
      </c>
      <c r="E97" s="26">
        <f t="shared" si="14"/>
        <v>-4919</v>
      </c>
      <c r="F97" s="26">
        <f t="shared" si="14"/>
        <v>-5293</v>
      </c>
      <c r="G97" s="26">
        <f t="shared" si="14"/>
        <v>2491</v>
      </c>
      <c r="H97" s="26">
        <f t="shared" si="14"/>
        <v>-1459</v>
      </c>
      <c r="I97" s="26">
        <f>+SUM(I86:I96)</f>
        <v>-4836</v>
      </c>
    </row>
    <row r="98" spans="1:9" x14ac:dyDescent="0.2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x14ac:dyDescent="0.2">
      <c r="A99" s="27" t="s">
        <v>90</v>
      </c>
      <c r="B99" s="26">
        <f t="shared" ref="B99:I99" si="15">+B76+B84+B97+B98</f>
        <v>1824</v>
      </c>
      <c r="C99" s="26">
        <f t="shared" si="15"/>
        <v>-536</v>
      </c>
      <c r="D99" s="26">
        <f t="shared" si="15"/>
        <v>799</v>
      </c>
      <c r="E99" s="26">
        <f t="shared" si="15"/>
        <v>360</v>
      </c>
      <c r="F99" s="26">
        <f t="shared" si="15"/>
        <v>217</v>
      </c>
      <c r="G99" s="26">
        <f t="shared" si="15"/>
        <v>3882</v>
      </c>
      <c r="H99" s="26">
        <f t="shared" si="15"/>
        <v>1541</v>
      </c>
      <c r="I99" s="26">
        <f t="shared" si="15"/>
        <v>-1315</v>
      </c>
    </row>
    <row r="100" spans="1:9" x14ac:dyDescent="0.2">
      <c r="A100" t="s">
        <v>91</v>
      </c>
      <c r="B100" s="3">
        <v>2220</v>
      </c>
      <c r="C100" s="3">
        <v>3852</v>
      </c>
      <c r="D100" s="3">
        <v>3138</v>
      </c>
      <c r="E100" s="3">
        <v>3808</v>
      </c>
      <c r="F100" s="3">
        <v>4249</v>
      </c>
      <c r="G100" s="3">
        <v>4466</v>
      </c>
      <c r="H100" s="3">
        <v>8348</v>
      </c>
      <c r="I100" s="3">
        <f>+H101</f>
        <v>9889</v>
      </c>
    </row>
    <row r="101" spans="1:9" ht="16" thickBot="1" x14ac:dyDescent="0.25">
      <c r="A101" s="6" t="s">
        <v>92</v>
      </c>
      <c r="B101" s="7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f>+H99+H100</f>
        <v>9889</v>
      </c>
      <c r="I101" s="7">
        <f>+I99+I100</f>
        <v>8574</v>
      </c>
    </row>
    <row r="102" spans="1:9" s="12" customFormat="1" ht="16" thickTop="1" x14ac:dyDescent="0.2">
      <c r="A102" s="12" t="s">
        <v>19</v>
      </c>
      <c r="B102" s="13">
        <f t="shared" ref="B102:I102" si="16">+B101-B25</f>
        <v>0</v>
      </c>
      <c r="C102" s="13">
        <f t="shared" si="16"/>
        <v>0</v>
      </c>
      <c r="D102" s="13">
        <f t="shared" si="16"/>
        <v>0</v>
      </c>
      <c r="E102" s="13">
        <f t="shared" si="16"/>
        <v>0</v>
      </c>
      <c r="F102" s="13">
        <f t="shared" si="16"/>
        <v>0</v>
      </c>
      <c r="G102" s="13">
        <f t="shared" si="16"/>
        <v>0</v>
      </c>
      <c r="H102" s="13">
        <f t="shared" si="16"/>
        <v>0</v>
      </c>
      <c r="I102" s="13">
        <f t="shared" si="16"/>
        <v>0</v>
      </c>
    </row>
    <row r="103" spans="1:9" x14ac:dyDescent="0.2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11" t="s">
        <v>94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x14ac:dyDescent="0.2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x14ac:dyDescent="0.2">
      <c r="A107" s="11" t="s">
        <v>95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x14ac:dyDescent="0.2">
      <c r="A108" s="11" t="s">
        <v>96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2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">
      <c r="A111" s="28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2" t="s">
        <v>100</v>
      </c>
      <c r="B112" s="3">
        <f t="shared" ref="B112:H112" si="17">+SUM(B113:B115)</f>
        <v>13740</v>
      </c>
      <c r="C112" s="3">
        <v>14764</v>
      </c>
      <c r="D112" s="3">
        <v>15216</v>
      </c>
      <c r="E112" s="3">
        <f t="shared" si="17"/>
        <v>14855</v>
      </c>
      <c r="F112" s="3">
        <f t="shared" si="17"/>
        <v>15902</v>
      </c>
      <c r="G112" s="3">
        <f t="shared" si="17"/>
        <v>14484</v>
      </c>
      <c r="H112" s="3">
        <f t="shared" si="17"/>
        <v>17179</v>
      </c>
      <c r="I112" s="3">
        <f>+SUM(I113:I115)</f>
        <v>18353</v>
      </c>
    </row>
    <row r="113" spans="1:9" x14ac:dyDescent="0.2">
      <c r="A113" s="11" t="s">
        <v>113</v>
      </c>
      <c r="B113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2">
      <c r="A114" s="11" t="s">
        <v>114</v>
      </c>
      <c r="B114">
        <v>4410</v>
      </c>
      <c r="C114">
        <v>4746</v>
      </c>
      <c r="D114">
        <v>4866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2">
      <c r="A115" s="11" t="s">
        <v>115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2">
      <c r="A116" s="2" t="s">
        <v>101</v>
      </c>
      <c r="B116" s="3">
        <f t="shared" ref="B116" si="18">+SUM(B117:B119)</f>
        <v>7126</v>
      </c>
      <c r="C116" s="3">
        <v>7568</v>
      </c>
      <c r="D116" s="3">
        <v>7970</v>
      </c>
      <c r="E116" s="3">
        <f t="shared" ref="E116:H116" si="19">+SUM(E117:E119)</f>
        <v>9242</v>
      </c>
      <c r="F116" s="3">
        <f t="shared" si="19"/>
        <v>9812</v>
      </c>
      <c r="G116" s="3">
        <f t="shared" si="19"/>
        <v>9347</v>
      </c>
      <c r="H116" s="3">
        <f t="shared" si="19"/>
        <v>11456</v>
      </c>
      <c r="I116" s="3">
        <f>+SUM(I117:I119)</f>
        <v>12479</v>
      </c>
    </row>
    <row r="117" spans="1:9" x14ac:dyDescent="0.2">
      <c r="A117" s="11" t="s">
        <v>113</v>
      </c>
      <c r="B117">
        <f>3876+827</f>
        <v>4703</v>
      </c>
      <c r="C117">
        <f>3985+882</f>
        <v>4867</v>
      </c>
      <c r="D117">
        <v>5192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2">
      <c r="A118" s="11" t="s">
        <v>114</v>
      </c>
      <c r="B118">
        <f>1555+495</f>
        <v>2050</v>
      </c>
      <c r="C118">
        <f>1628+463</f>
        <v>2091</v>
      </c>
      <c r="D118">
        <v>2395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2">
      <c r="A119" s="11" t="s">
        <v>115</v>
      </c>
      <c r="B119">
        <f>278+95</f>
        <v>373</v>
      </c>
      <c r="C119">
        <f>271+86</f>
        <v>357</v>
      </c>
      <c r="D119">
        <v>383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2">
      <c r="A120" s="2" t="s">
        <v>102</v>
      </c>
      <c r="B120" s="3">
        <f t="shared" ref="B120" si="20">+SUM(B121:B123)</f>
        <v>3067</v>
      </c>
      <c r="C120" s="3">
        <v>3785</v>
      </c>
      <c r="D120" s="3">
        <v>4237</v>
      </c>
      <c r="E120" s="3">
        <f t="shared" ref="E120:H120" si="21">+SUM(E121:E123)</f>
        <v>5134</v>
      </c>
      <c r="F120" s="3">
        <f t="shared" si="21"/>
        <v>6208</v>
      </c>
      <c r="G120" s="3">
        <f t="shared" si="21"/>
        <v>6679</v>
      </c>
      <c r="H120" s="3">
        <f t="shared" si="21"/>
        <v>8290</v>
      </c>
      <c r="I120" s="3">
        <f>+SUM(I121:I123)</f>
        <v>7547</v>
      </c>
    </row>
    <row r="121" spans="1:9" x14ac:dyDescent="0.2">
      <c r="A121" s="11" t="s">
        <v>113</v>
      </c>
      <c r="B121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2">
      <c r="A122" s="11" t="s">
        <v>114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2">
      <c r="A123" s="11" t="s">
        <v>115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2">
      <c r="A124" s="2" t="s">
        <v>106</v>
      </c>
      <c r="B124" s="3">
        <f t="shared" ref="B124:H124" si="22">+SUM(B125:B127)</f>
        <v>755</v>
      </c>
      <c r="C124" s="3">
        <v>4317</v>
      </c>
      <c r="D124" s="3">
        <v>4737</v>
      </c>
      <c r="E124" s="3">
        <f t="shared" ref="E124:G124" si="23">+SUM(E125:E127)</f>
        <v>5166</v>
      </c>
      <c r="F124" s="3">
        <f t="shared" si="23"/>
        <v>5254</v>
      </c>
      <c r="G124" s="3">
        <f t="shared" si="23"/>
        <v>5028</v>
      </c>
      <c r="H124" s="3">
        <f t="shared" si="22"/>
        <v>5343</v>
      </c>
      <c r="I124" s="3">
        <f>+SUM(I125:I127)</f>
        <v>5955</v>
      </c>
    </row>
    <row r="125" spans="1:9" x14ac:dyDescent="0.2">
      <c r="A125" s="11" t="s">
        <v>113</v>
      </c>
      <c r="B125">
        <v>452</v>
      </c>
      <c r="C125">
        <v>570</v>
      </c>
      <c r="D125">
        <v>3285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2">
      <c r="A126" s="11" t="s">
        <v>114</v>
      </c>
      <c r="B126">
        <v>230</v>
      </c>
      <c r="C126">
        <v>228</v>
      </c>
      <c r="D126">
        <v>1185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2">
      <c r="A127" s="11" t="s">
        <v>115</v>
      </c>
      <c r="B127">
        <v>73</v>
      </c>
      <c r="C127">
        <v>71</v>
      </c>
      <c r="D127">
        <v>267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2">
      <c r="A128" s="2" t="s">
        <v>214</v>
      </c>
      <c r="B128" s="3">
        <v>3898</v>
      </c>
      <c r="C128" s="3">
        <v>0</v>
      </c>
      <c r="D128" s="3">
        <v>0</v>
      </c>
      <c r="E128" s="3">
        <v>0</v>
      </c>
      <c r="F128" s="3">
        <v>0</v>
      </c>
      <c r="G128" s="60">
        <v>0</v>
      </c>
      <c r="H128" s="60">
        <v>0</v>
      </c>
      <c r="I128" s="60">
        <v>0</v>
      </c>
    </row>
    <row r="129" spans="1:9" x14ac:dyDescent="0.2">
      <c r="A129" s="11" t="s">
        <v>113</v>
      </c>
      <c r="B129">
        <v>2641</v>
      </c>
      <c r="C129" s="3">
        <v>0</v>
      </c>
      <c r="D129" s="3">
        <v>0</v>
      </c>
      <c r="E129" s="3">
        <v>0</v>
      </c>
      <c r="F129" s="3">
        <v>0</v>
      </c>
      <c r="G129" s="60">
        <v>0</v>
      </c>
      <c r="H129" s="60">
        <v>0</v>
      </c>
      <c r="I129" s="60">
        <v>0</v>
      </c>
    </row>
    <row r="130" spans="1:9" x14ac:dyDescent="0.2">
      <c r="A130" s="11" t="s">
        <v>114</v>
      </c>
      <c r="B130">
        <v>1021</v>
      </c>
      <c r="C130" s="3">
        <v>0</v>
      </c>
      <c r="D130" s="3">
        <v>0</v>
      </c>
      <c r="E130" s="3">
        <v>0</v>
      </c>
      <c r="F130" s="3">
        <v>0</v>
      </c>
      <c r="G130" s="60">
        <v>0</v>
      </c>
      <c r="H130" s="60">
        <v>0</v>
      </c>
      <c r="I130" s="60">
        <v>0</v>
      </c>
    </row>
    <row r="131" spans="1:9" x14ac:dyDescent="0.2">
      <c r="A131" s="11" t="s">
        <v>115</v>
      </c>
      <c r="B131">
        <v>236</v>
      </c>
      <c r="C131" s="3">
        <v>0</v>
      </c>
      <c r="D131" s="3">
        <v>0</v>
      </c>
      <c r="E131" s="3">
        <v>0</v>
      </c>
      <c r="F131" s="3">
        <v>0</v>
      </c>
      <c r="G131" s="60">
        <v>0</v>
      </c>
      <c r="H131" s="60">
        <v>0</v>
      </c>
      <c r="I131" s="60">
        <v>0</v>
      </c>
    </row>
    <row r="132" spans="1:9" x14ac:dyDescent="0.2">
      <c r="A132" s="2" t="s">
        <v>107</v>
      </c>
      <c r="B132" s="3">
        <v>115</v>
      </c>
      <c r="C132" s="3">
        <v>73</v>
      </c>
      <c r="D132" s="3">
        <v>73</v>
      </c>
      <c r="E132" s="3">
        <v>88</v>
      </c>
      <c r="F132" s="3">
        <v>42</v>
      </c>
      <c r="G132" s="3">
        <v>30</v>
      </c>
      <c r="H132" s="3">
        <v>25</v>
      </c>
      <c r="I132" s="3">
        <v>102</v>
      </c>
    </row>
    <row r="133" spans="1:9" x14ac:dyDescent="0.2">
      <c r="A133" s="4" t="s">
        <v>103</v>
      </c>
      <c r="B133" s="5">
        <f>+B112+B116+B120+B128+B132+B124</f>
        <v>28701</v>
      </c>
      <c r="C133" s="5">
        <f t="shared" ref="C133:I133" si="24">+C112+C116+C120+C128+C132+C124</f>
        <v>30507</v>
      </c>
      <c r="D133" s="5">
        <f t="shared" si="24"/>
        <v>32233</v>
      </c>
      <c r="E133" s="5">
        <f t="shared" si="24"/>
        <v>34485</v>
      </c>
      <c r="F133" s="5">
        <f t="shared" si="24"/>
        <v>37218</v>
      </c>
      <c r="G133" s="5">
        <f t="shared" si="24"/>
        <v>35568</v>
      </c>
      <c r="H133" s="5">
        <f t="shared" si="24"/>
        <v>42293</v>
      </c>
      <c r="I133" s="5">
        <f t="shared" si="24"/>
        <v>44436</v>
      </c>
    </row>
    <row r="134" spans="1:9" x14ac:dyDescent="0.2">
      <c r="A134" s="2" t="s">
        <v>104</v>
      </c>
      <c r="B134" s="61">
        <v>1982</v>
      </c>
      <c r="C134" s="61">
        <v>1955</v>
      </c>
      <c r="D134" s="61">
        <v>2042</v>
      </c>
      <c r="E134" s="61">
        <v>1886</v>
      </c>
      <c r="F134" s="61">
        <v>1906</v>
      </c>
      <c r="G134" s="61">
        <v>1846</v>
      </c>
      <c r="H134" s="3">
        <f>+SUM(H135:H138)</f>
        <v>2205</v>
      </c>
      <c r="I134" s="3">
        <f>+SUM(I135:I138)</f>
        <v>2346</v>
      </c>
    </row>
    <row r="135" spans="1:9" x14ac:dyDescent="0.2">
      <c r="A135" s="11" t="s">
        <v>113</v>
      </c>
      <c r="B135" s="3">
        <v>0</v>
      </c>
      <c r="C135" s="3">
        <v>0</v>
      </c>
      <c r="D135" s="3">
        <v>0</v>
      </c>
      <c r="E135" s="3">
        <v>0</v>
      </c>
      <c r="F135" s="3">
        <v>1658</v>
      </c>
      <c r="G135" s="3">
        <v>1642</v>
      </c>
      <c r="H135" s="3">
        <v>1986</v>
      </c>
      <c r="I135" s="3">
        <v>2094</v>
      </c>
    </row>
    <row r="136" spans="1:9" x14ac:dyDescent="0.2">
      <c r="A136" s="11" t="s">
        <v>114</v>
      </c>
      <c r="B136" s="3">
        <v>0</v>
      </c>
      <c r="C136" s="3">
        <v>0</v>
      </c>
      <c r="D136" s="3">
        <v>0</v>
      </c>
      <c r="E136" s="3">
        <v>0</v>
      </c>
      <c r="F136" s="3">
        <v>118</v>
      </c>
      <c r="G136" s="3">
        <v>89</v>
      </c>
      <c r="H136" s="3">
        <v>104</v>
      </c>
      <c r="I136" s="3">
        <v>103</v>
      </c>
    </row>
    <row r="137" spans="1:9" x14ac:dyDescent="0.2">
      <c r="A137" s="11" t="s">
        <v>115</v>
      </c>
      <c r="B137" s="3">
        <v>0</v>
      </c>
      <c r="C137" s="3">
        <v>0</v>
      </c>
      <c r="D137" s="3">
        <v>0</v>
      </c>
      <c r="E137" s="3">
        <v>0</v>
      </c>
      <c r="F137" s="3">
        <v>24</v>
      </c>
      <c r="G137" s="3">
        <v>25</v>
      </c>
      <c r="H137" s="3">
        <v>29</v>
      </c>
      <c r="I137" s="3">
        <v>26</v>
      </c>
    </row>
    <row r="138" spans="1:9" x14ac:dyDescent="0.2">
      <c r="A138" s="11" t="s">
        <v>121</v>
      </c>
      <c r="B138" s="3">
        <v>0</v>
      </c>
      <c r="C138" s="3">
        <v>0</v>
      </c>
      <c r="D138" s="3">
        <v>0</v>
      </c>
      <c r="E138" s="3">
        <v>0</v>
      </c>
      <c r="F138" s="3">
        <v>106</v>
      </c>
      <c r="G138" s="3">
        <v>90</v>
      </c>
      <c r="H138" s="3">
        <v>86</v>
      </c>
      <c r="I138" s="3">
        <v>123</v>
      </c>
    </row>
    <row r="139" spans="1:9" x14ac:dyDescent="0.2">
      <c r="A139" s="2" t="s">
        <v>108</v>
      </c>
      <c r="B139" s="3">
        <v>-82</v>
      </c>
      <c r="C139" s="3">
        <v>-86</v>
      </c>
      <c r="D139" s="3">
        <v>75</v>
      </c>
      <c r="E139" s="3">
        <v>26</v>
      </c>
      <c r="F139" s="3">
        <v>-7</v>
      </c>
      <c r="G139" s="3">
        <v>-11</v>
      </c>
      <c r="H139" s="3">
        <v>40</v>
      </c>
      <c r="I139" s="3">
        <v>-72</v>
      </c>
    </row>
    <row r="140" spans="1:9" ht="16" thickBot="1" x14ac:dyDescent="0.25">
      <c r="A140" s="6" t="s">
        <v>105</v>
      </c>
      <c r="B140" s="7">
        <f t="shared" ref="B140:H140" si="25">+B133+B134+B139</f>
        <v>30601</v>
      </c>
      <c r="C140" s="7">
        <f t="shared" si="25"/>
        <v>32376</v>
      </c>
      <c r="D140" s="7">
        <f t="shared" si="25"/>
        <v>34350</v>
      </c>
      <c r="E140" s="7">
        <f t="shared" si="25"/>
        <v>36397</v>
      </c>
      <c r="F140" s="7">
        <f t="shared" si="25"/>
        <v>39117</v>
      </c>
      <c r="G140" s="7">
        <f t="shared" si="25"/>
        <v>37403</v>
      </c>
      <c r="H140" s="7">
        <f t="shared" si="25"/>
        <v>44538</v>
      </c>
      <c r="I140" s="7">
        <f>+I133+I134+I139</f>
        <v>46710</v>
      </c>
    </row>
    <row r="141" spans="1:9" s="12" customFormat="1" ht="16" thickTop="1" x14ac:dyDescent="0.2">
      <c r="A141" s="12" t="s">
        <v>111</v>
      </c>
      <c r="B141" s="13">
        <f t="shared" ref="B141:I141" si="26">+I140-I2</f>
        <v>0</v>
      </c>
      <c r="C141" s="13">
        <f t="shared" si="26"/>
        <v>0</v>
      </c>
      <c r="D141" s="13">
        <f t="shared" si="26"/>
        <v>0</v>
      </c>
      <c r="E141" s="13">
        <f t="shared" si="26"/>
        <v>0</v>
      </c>
      <c r="F141" s="13">
        <f t="shared" si="26"/>
        <v>0</v>
      </c>
      <c r="G141" s="13">
        <f t="shared" si="26"/>
        <v>0</v>
      </c>
      <c r="H141" s="13">
        <f t="shared" si="26"/>
        <v>0</v>
      </c>
      <c r="I141" s="13">
        <f t="shared" si="26"/>
        <v>0</v>
      </c>
    </row>
    <row r="142" spans="1:9" x14ac:dyDescent="0.2">
      <c r="A142" s="1" t="s">
        <v>110</v>
      </c>
    </row>
    <row r="143" spans="1:9" x14ac:dyDescent="0.2">
      <c r="A143" s="2" t="s">
        <v>100</v>
      </c>
      <c r="B143" s="3">
        <v>3645</v>
      </c>
      <c r="C143" s="3">
        <v>3763</v>
      </c>
      <c r="D143" s="3">
        <v>3875</v>
      </c>
      <c r="E143" s="3">
        <v>3600</v>
      </c>
      <c r="F143" s="3">
        <v>3925</v>
      </c>
      <c r="G143" s="3">
        <v>2899</v>
      </c>
      <c r="H143" s="3">
        <v>5089</v>
      </c>
      <c r="I143" s="3">
        <v>5114</v>
      </c>
    </row>
    <row r="144" spans="1:9" x14ac:dyDescent="0.2">
      <c r="A144" s="2" t="s">
        <v>101</v>
      </c>
      <c r="B144" s="3">
        <f>1277+247</f>
        <v>1524</v>
      </c>
      <c r="C144" s="3">
        <v>1787</v>
      </c>
      <c r="D144" s="3">
        <v>1507</v>
      </c>
      <c r="E144" s="3">
        <v>1587</v>
      </c>
      <c r="F144" s="3">
        <v>1995</v>
      </c>
      <c r="G144" s="3">
        <v>1541</v>
      </c>
      <c r="H144" s="3">
        <v>2435</v>
      </c>
      <c r="I144" s="3">
        <v>3293</v>
      </c>
    </row>
    <row r="145" spans="1:9" x14ac:dyDescent="0.2">
      <c r="A145" s="2" t="s">
        <v>102</v>
      </c>
      <c r="B145" s="3">
        <v>993</v>
      </c>
      <c r="C145" s="3">
        <v>1372</v>
      </c>
      <c r="D145" s="3">
        <v>1507</v>
      </c>
      <c r="E145" s="3">
        <v>1807</v>
      </c>
      <c r="F145" s="3">
        <v>2376</v>
      </c>
      <c r="G145" s="3">
        <v>2490</v>
      </c>
      <c r="H145" s="3">
        <v>3243</v>
      </c>
      <c r="I145" s="3">
        <v>2365</v>
      </c>
    </row>
    <row r="146" spans="1:9" x14ac:dyDescent="0.2">
      <c r="A146" s="2" t="s">
        <v>106</v>
      </c>
      <c r="B146" s="3">
        <v>100</v>
      </c>
      <c r="C146" s="3">
        <v>1002</v>
      </c>
      <c r="D146" s="3">
        <v>980</v>
      </c>
      <c r="E146" s="3">
        <v>1189</v>
      </c>
      <c r="F146" s="3">
        <v>1323</v>
      </c>
      <c r="G146" s="3">
        <v>1184</v>
      </c>
      <c r="H146" s="3">
        <v>1530</v>
      </c>
      <c r="I146" s="3">
        <v>1896</v>
      </c>
    </row>
    <row r="147" spans="1:9" x14ac:dyDescent="0.2">
      <c r="A147" s="2" t="s">
        <v>214</v>
      </c>
      <c r="B147" s="3">
        <v>818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</row>
    <row r="148" spans="1:9" x14ac:dyDescent="0.2">
      <c r="A148" s="2" t="s">
        <v>107</v>
      </c>
      <c r="B148" s="3">
        <v>-2263</v>
      </c>
      <c r="C148" s="3">
        <v>-2596</v>
      </c>
      <c r="D148" s="3">
        <v>-2677</v>
      </c>
      <c r="E148" s="3">
        <v>-2658</v>
      </c>
      <c r="F148" s="3">
        <v>-3262</v>
      </c>
      <c r="G148" s="3">
        <v>-3468</v>
      </c>
      <c r="H148" s="3">
        <v>-3656</v>
      </c>
      <c r="I148" s="3">
        <v>-4262</v>
      </c>
    </row>
    <row r="149" spans="1:9" x14ac:dyDescent="0.2">
      <c r="A149" s="4" t="s">
        <v>103</v>
      </c>
      <c r="B149" s="5">
        <f t="shared" ref="B149:I149" si="27">+SUM(B143:B148)</f>
        <v>4817</v>
      </c>
      <c r="C149" s="5">
        <f t="shared" si="27"/>
        <v>5328</v>
      </c>
      <c r="D149" s="5">
        <f t="shared" si="27"/>
        <v>5192</v>
      </c>
      <c r="E149" s="5">
        <f t="shared" si="27"/>
        <v>5525</v>
      </c>
      <c r="F149" s="5">
        <f t="shared" si="27"/>
        <v>6357</v>
      </c>
      <c r="G149" s="5">
        <f t="shared" si="27"/>
        <v>4646</v>
      </c>
      <c r="H149" s="5">
        <f t="shared" si="27"/>
        <v>8641</v>
      </c>
      <c r="I149" s="5">
        <f t="shared" si="27"/>
        <v>8406</v>
      </c>
    </row>
    <row r="150" spans="1:9" x14ac:dyDescent="0.2">
      <c r="A150" s="2" t="s">
        <v>104</v>
      </c>
      <c r="B150" s="3">
        <v>517</v>
      </c>
      <c r="C150" s="3">
        <v>487</v>
      </c>
      <c r="D150" s="3">
        <v>477</v>
      </c>
      <c r="E150" s="3">
        <v>310</v>
      </c>
      <c r="F150" s="3">
        <v>303</v>
      </c>
      <c r="G150" s="3">
        <v>297</v>
      </c>
      <c r="H150" s="3">
        <v>543</v>
      </c>
      <c r="I150" s="3">
        <v>669</v>
      </c>
    </row>
    <row r="151" spans="1:9" x14ac:dyDescent="0.2">
      <c r="A151" s="2" t="s">
        <v>108</v>
      </c>
      <c r="B151" s="3">
        <v>-1101</v>
      </c>
      <c r="C151" s="3">
        <v>-1173</v>
      </c>
      <c r="D151" s="3">
        <v>-724</v>
      </c>
      <c r="E151" s="3">
        <v>-1456</v>
      </c>
      <c r="F151" s="3">
        <v>-1810</v>
      </c>
      <c r="G151" s="3">
        <v>-1967</v>
      </c>
      <c r="H151" s="3">
        <v>-2261</v>
      </c>
      <c r="I151" s="3">
        <v>-2219</v>
      </c>
    </row>
    <row r="152" spans="1:9" ht="16" thickBot="1" x14ac:dyDescent="0.25">
      <c r="A152" s="6" t="s">
        <v>112</v>
      </c>
      <c r="B152" s="7">
        <f t="shared" ref="B152" si="28">+SUM(B149:B151)</f>
        <v>4233</v>
      </c>
      <c r="C152" s="7">
        <f t="shared" ref="C152:H152" si="29">+SUM(C149:C151)</f>
        <v>4642</v>
      </c>
      <c r="D152" s="7">
        <f t="shared" si="29"/>
        <v>4945</v>
      </c>
      <c r="E152" s="7">
        <f t="shared" si="29"/>
        <v>4379</v>
      </c>
      <c r="F152" s="7">
        <f t="shared" si="29"/>
        <v>4850</v>
      </c>
      <c r="G152" s="7">
        <f t="shared" si="29"/>
        <v>2976</v>
      </c>
      <c r="H152" s="7">
        <f t="shared" si="29"/>
        <v>6923</v>
      </c>
      <c r="I152" s="7">
        <f>+SUM(I149:I151)</f>
        <v>6856</v>
      </c>
    </row>
    <row r="153" spans="1:9" s="12" customFormat="1" ht="16" thickTop="1" x14ac:dyDescent="0.2">
      <c r="A153" s="12" t="s">
        <v>111</v>
      </c>
      <c r="B153" s="13">
        <f t="shared" ref="B153:I153" si="30">+B152-B10-B8</f>
        <v>0</v>
      </c>
      <c r="C153" s="13">
        <f t="shared" si="30"/>
        <v>0</v>
      </c>
      <c r="D153" s="13">
        <f t="shared" si="30"/>
        <v>0</v>
      </c>
      <c r="E153" s="13">
        <f t="shared" si="30"/>
        <v>0</v>
      </c>
      <c r="F153" s="13">
        <f t="shared" si="30"/>
        <v>0</v>
      </c>
      <c r="G153" s="13">
        <f t="shared" si="30"/>
        <v>0</v>
      </c>
      <c r="H153" s="13">
        <f t="shared" si="30"/>
        <v>0</v>
      </c>
      <c r="I153" s="13">
        <f t="shared" si="30"/>
        <v>0</v>
      </c>
    </row>
    <row r="154" spans="1:9" x14ac:dyDescent="0.2">
      <c r="A154" s="1" t="s">
        <v>117</v>
      </c>
    </row>
    <row r="155" spans="1:9" x14ac:dyDescent="0.2">
      <c r="A155" s="2" t="s">
        <v>100</v>
      </c>
      <c r="B155" s="3">
        <v>632</v>
      </c>
      <c r="C155" s="3">
        <v>742</v>
      </c>
      <c r="D155" s="3">
        <v>819</v>
      </c>
      <c r="E155" s="3">
        <v>848</v>
      </c>
      <c r="F155" s="3">
        <v>814</v>
      </c>
      <c r="G155" s="3">
        <v>645</v>
      </c>
      <c r="H155" s="3">
        <v>617</v>
      </c>
      <c r="I155" s="3">
        <v>639</v>
      </c>
    </row>
    <row r="156" spans="1:9" x14ac:dyDescent="0.2">
      <c r="A156" s="2" t="s">
        <v>101</v>
      </c>
      <c r="B156" s="3">
        <f>451+47</f>
        <v>498</v>
      </c>
      <c r="C156" s="3">
        <f>589+50</f>
        <v>639</v>
      </c>
      <c r="D156" s="3">
        <f>658+48</f>
        <v>706</v>
      </c>
      <c r="E156" s="3">
        <v>849</v>
      </c>
      <c r="F156" s="3">
        <v>929</v>
      </c>
      <c r="G156" s="3">
        <v>885</v>
      </c>
      <c r="H156" s="3">
        <v>982</v>
      </c>
      <c r="I156" s="3">
        <v>920</v>
      </c>
    </row>
    <row r="157" spans="1:9" x14ac:dyDescent="0.2">
      <c r="A157" s="2" t="s">
        <v>102</v>
      </c>
      <c r="B157" s="3">
        <v>254</v>
      </c>
      <c r="C157" s="3">
        <v>234</v>
      </c>
      <c r="D157" s="3">
        <v>225</v>
      </c>
      <c r="E157" s="3">
        <v>256</v>
      </c>
      <c r="F157" s="3">
        <v>237</v>
      </c>
      <c r="G157" s="3">
        <v>214</v>
      </c>
      <c r="H157" s="3">
        <v>288</v>
      </c>
      <c r="I157" s="3">
        <v>303</v>
      </c>
    </row>
    <row r="158" spans="1:9" x14ac:dyDescent="0.2">
      <c r="A158" s="2" t="s">
        <v>118</v>
      </c>
      <c r="B158" s="3">
        <v>205</v>
      </c>
      <c r="C158" s="3">
        <v>223</v>
      </c>
      <c r="D158" s="3">
        <v>223</v>
      </c>
      <c r="E158" s="3">
        <v>339</v>
      </c>
      <c r="F158" s="3">
        <v>326</v>
      </c>
      <c r="G158" s="3">
        <v>296</v>
      </c>
      <c r="H158" s="3">
        <v>304</v>
      </c>
      <c r="I158" s="3">
        <v>274</v>
      </c>
    </row>
    <row r="159" spans="1:9" x14ac:dyDescent="0.2">
      <c r="A159" s="2" t="s">
        <v>214</v>
      </c>
      <c r="B159" s="3">
        <v>103</v>
      </c>
      <c r="C159" s="3">
        <v>109</v>
      </c>
      <c r="D159" s="3">
        <v>120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2">
      <c r="A160" s="2" t="s">
        <v>107</v>
      </c>
      <c r="B160" s="3">
        <v>484</v>
      </c>
      <c r="C160" s="3">
        <v>511</v>
      </c>
      <c r="D160" s="3">
        <v>533</v>
      </c>
      <c r="E160" s="3">
        <v>597</v>
      </c>
      <c r="F160" s="3">
        <v>665</v>
      </c>
      <c r="G160" s="3">
        <v>830</v>
      </c>
      <c r="H160" s="3">
        <v>780</v>
      </c>
      <c r="I160" s="3">
        <v>789</v>
      </c>
    </row>
    <row r="161" spans="1:9" x14ac:dyDescent="0.2">
      <c r="A161" s="4" t="s">
        <v>119</v>
      </c>
      <c r="B161" s="5">
        <f t="shared" ref="B161:I161" si="31">+SUM(B155:B160)</f>
        <v>2176</v>
      </c>
      <c r="C161" s="5">
        <f t="shared" si="31"/>
        <v>2458</v>
      </c>
      <c r="D161" s="5">
        <f t="shared" si="31"/>
        <v>2626</v>
      </c>
      <c r="E161" s="5">
        <f t="shared" si="31"/>
        <v>2889</v>
      </c>
      <c r="F161" s="5">
        <f t="shared" si="31"/>
        <v>2971</v>
      </c>
      <c r="G161" s="5">
        <f t="shared" si="31"/>
        <v>2870</v>
      </c>
      <c r="H161" s="5">
        <f t="shared" si="31"/>
        <v>2971</v>
      </c>
      <c r="I161" s="5">
        <f t="shared" si="31"/>
        <v>2925</v>
      </c>
    </row>
    <row r="162" spans="1:9" x14ac:dyDescent="0.2">
      <c r="A162" s="2" t="s">
        <v>104</v>
      </c>
      <c r="B162" s="3">
        <v>122</v>
      </c>
      <c r="C162" s="3">
        <v>125</v>
      </c>
      <c r="D162" s="3">
        <v>125</v>
      </c>
      <c r="E162" s="3">
        <v>115</v>
      </c>
      <c r="F162" s="3">
        <v>100</v>
      </c>
      <c r="G162" s="3">
        <v>80</v>
      </c>
      <c r="H162" s="3">
        <v>63</v>
      </c>
      <c r="I162" s="3">
        <v>49</v>
      </c>
    </row>
    <row r="163" spans="1:9" x14ac:dyDescent="0.2">
      <c r="A163" s="2" t="s">
        <v>108</v>
      </c>
      <c r="B163" s="3">
        <v>713</v>
      </c>
      <c r="C163" s="3">
        <v>937</v>
      </c>
      <c r="D163" s="3">
        <v>1238</v>
      </c>
      <c r="E163" s="3">
        <v>1450</v>
      </c>
      <c r="F163" s="3">
        <v>1673</v>
      </c>
      <c r="G163" s="3">
        <v>1916</v>
      </c>
      <c r="H163" s="3">
        <v>1870</v>
      </c>
      <c r="I163" s="3">
        <v>1817</v>
      </c>
    </row>
    <row r="164" spans="1:9" ht="16" thickBot="1" x14ac:dyDescent="0.25">
      <c r="A164" s="6" t="s">
        <v>120</v>
      </c>
      <c r="B164" s="7">
        <f t="shared" ref="B164:H164" si="32">+SUM(B161:B163)</f>
        <v>3011</v>
      </c>
      <c r="C164" s="7">
        <f t="shared" si="32"/>
        <v>3520</v>
      </c>
      <c r="D164" s="7">
        <f t="shared" si="32"/>
        <v>3989</v>
      </c>
      <c r="E164" s="7">
        <f t="shared" si="32"/>
        <v>4454</v>
      </c>
      <c r="F164" s="7">
        <f t="shared" si="32"/>
        <v>4744</v>
      </c>
      <c r="G164" s="7">
        <f t="shared" si="32"/>
        <v>4866</v>
      </c>
      <c r="H164" s="7">
        <f t="shared" si="32"/>
        <v>4904</v>
      </c>
      <c r="I164" s="7">
        <f>+SUM(I161:I163)</f>
        <v>4791</v>
      </c>
    </row>
    <row r="165" spans="1:9" ht="16" thickTop="1" x14ac:dyDescent="0.2">
      <c r="A165" s="12" t="s">
        <v>111</v>
      </c>
      <c r="B165" s="13">
        <f t="shared" ref="B165:I165" si="33">+B164-B31</f>
        <v>0</v>
      </c>
      <c r="C165" s="13">
        <f t="shared" si="33"/>
        <v>0</v>
      </c>
      <c r="D165" s="13">
        <f t="shared" si="33"/>
        <v>0</v>
      </c>
      <c r="E165" s="13">
        <f t="shared" si="33"/>
        <v>0</v>
      </c>
      <c r="F165" s="13">
        <f t="shared" si="33"/>
        <v>0</v>
      </c>
      <c r="G165" s="13">
        <f t="shared" si="33"/>
        <v>0</v>
      </c>
      <c r="H165" s="13">
        <f t="shared" si="33"/>
        <v>0</v>
      </c>
      <c r="I165" s="13">
        <f t="shared" si="33"/>
        <v>0</v>
      </c>
    </row>
    <row r="166" spans="1:9" x14ac:dyDescent="0.2">
      <c r="A166" s="1" t="s">
        <v>122</v>
      </c>
    </row>
    <row r="167" spans="1:9" x14ac:dyDescent="0.2">
      <c r="A167" s="2" t="s">
        <v>100</v>
      </c>
      <c r="B167" s="3">
        <v>208</v>
      </c>
      <c r="C167" s="3">
        <v>242</v>
      </c>
      <c r="D167" s="3">
        <v>223</v>
      </c>
      <c r="E167" s="3">
        <v>196</v>
      </c>
      <c r="F167" s="3">
        <v>117</v>
      </c>
      <c r="G167" s="3">
        <v>110</v>
      </c>
      <c r="H167" s="3">
        <v>98</v>
      </c>
      <c r="I167" s="3">
        <v>146</v>
      </c>
    </row>
    <row r="168" spans="1:9" x14ac:dyDescent="0.2">
      <c r="A168" s="2" t="s">
        <v>101</v>
      </c>
      <c r="B168" s="3">
        <f>216+20</f>
        <v>236</v>
      </c>
      <c r="C168" s="3">
        <f>215+17</f>
        <v>232</v>
      </c>
      <c r="D168" s="3">
        <f>162+10</f>
        <v>172</v>
      </c>
      <c r="E168" s="3">
        <v>240</v>
      </c>
      <c r="F168" s="3">
        <v>233</v>
      </c>
      <c r="G168" s="3">
        <v>139</v>
      </c>
      <c r="H168" s="3">
        <v>153</v>
      </c>
      <c r="I168" s="3">
        <v>197</v>
      </c>
    </row>
    <row r="169" spans="1:9" x14ac:dyDescent="0.2">
      <c r="A169" s="2" t="s">
        <v>102</v>
      </c>
      <c r="B169" s="3">
        <v>69</v>
      </c>
      <c r="C169" s="3">
        <v>44</v>
      </c>
      <c r="D169" s="3">
        <v>51</v>
      </c>
      <c r="E169" s="3">
        <v>76</v>
      </c>
      <c r="F169" s="3">
        <v>49</v>
      </c>
      <c r="G169" s="3">
        <v>28</v>
      </c>
      <c r="H169" s="3">
        <v>94</v>
      </c>
      <c r="I169" s="3">
        <v>78</v>
      </c>
    </row>
    <row r="170" spans="1:9" x14ac:dyDescent="0.2">
      <c r="A170" s="2" t="s">
        <v>118</v>
      </c>
      <c r="B170" s="3">
        <v>15</v>
      </c>
      <c r="C170" s="3">
        <v>13</v>
      </c>
      <c r="D170" s="3">
        <v>21</v>
      </c>
      <c r="E170" s="3">
        <v>49</v>
      </c>
      <c r="F170" s="3">
        <v>47</v>
      </c>
      <c r="G170" s="3">
        <v>41</v>
      </c>
      <c r="H170" s="3">
        <v>54</v>
      </c>
      <c r="I170" s="3">
        <v>56</v>
      </c>
    </row>
    <row r="171" spans="1:9" x14ac:dyDescent="0.2">
      <c r="A171" s="2" t="s">
        <v>214</v>
      </c>
      <c r="B171" s="3">
        <v>37</v>
      </c>
      <c r="C171" s="3">
        <v>51</v>
      </c>
      <c r="D171" s="3">
        <v>39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</row>
    <row r="172" spans="1:9" x14ac:dyDescent="0.2">
      <c r="A172" s="2" t="s">
        <v>107</v>
      </c>
      <c r="B172" s="3">
        <v>225</v>
      </c>
      <c r="C172" s="3">
        <v>258</v>
      </c>
      <c r="D172" s="3">
        <v>278</v>
      </c>
      <c r="E172" s="3">
        <v>286</v>
      </c>
      <c r="F172" s="3">
        <v>278</v>
      </c>
      <c r="G172" s="3">
        <v>438</v>
      </c>
      <c r="H172" s="3">
        <v>278</v>
      </c>
      <c r="I172" s="3">
        <v>222</v>
      </c>
    </row>
    <row r="173" spans="1:9" x14ac:dyDescent="0.2">
      <c r="A173" s="4" t="s">
        <v>119</v>
      </c>
      <c r="B173" s="5">
        <f t="shared" ref="B173:I173" si="34">+SUM(B167:B172)</f>
        <v>790</v>
      </c>
      <c r="C173" s="5">
        <f t="shared" si="34"/>
        <v>840</v>
      </c>
      <c r="D173" s="5">
        <f t="shared" si="34"/>
        <v>784</v>
      </c>
      <c r="E173" s="5">
        <f t="shared" si="34"/>
        <v>847</v>
      </c>
      <c r="F173" s="5">
        <f t="shared" si="34"/>
        <v>724</v>
      </c>
      <c r="G173" s="5">
        <f t="shared" si="34"/>
        <v>756</v>
      </c>
      <c r="H173" s="5">
        <f t="shared" si="34"/>
        <v>677</v>
      </c>
      <c r="I173" s="5">
        <f t="shared" si="34"/>
        <v>699</v>
      </c>
    </row>
    <row r="174" spans="1:9" x14ac:dyDescent="0.2">
      <c r="A174" s="2" t="s">
        <v>104</v>
      </c>
      <c r="B174" s="3">
        <v>69</v>
      </c>
      <c r="C174" s="3">
        <v>39</v>
      </c>
      <c r="D174" s="3">
        <v>30</v>
      </c>
      <c r="E174" s="3">
        <v>22</v>
      </c>
      <c r="F174" s="3">
        <v>18</v>
      </c>
      <c r="G174" s="3">
        <v>12</v>
      </c>
      <c r="H174" s="3">
        <v>7</v>
      </c>
      <c r="I174" s="3">
        <v>9</v>
      </c>
    </row>
    <row r="175" spans="1:9" x14ac:dyDescent="0.2">
      <c r="A175" s="2" t="s">
        <v>108</v>
      </c>
      <c r="B175" s="3">
        <f t="shared" ref="B175:I175" si="35">-(SUM(B173:B174)+B81)</f>
        <v>104</v>
      </c>
      <c r="C175" s="3">
        <f t="shared" si="35"/>
        <v>264</v>
      </c>
      <c r="D175" s="3">
        <f t="shared" si="35"/>
        <v>291</v>
      </c>
      <c r="E175" s="3">
        <f t="shared" si="35"/>
        <v>159</v>
      </c>
      <c r="F175" s="3">
        <f t="shared" si="35"/>
        <v>377</v>
      </c>
      <c r="G175" s="3">
        <f t="shared" si="35"/>
        <v>318</v>
      </c>
      <c r="H175" s="3">
        <f t="shared" si="35"/>
        <v>11</v>
      </c>
      <c r="I175" s="3">
        <f t="shared" si="35"/>
        <v>50</v>
      </c>
    </row>
    <row r="176" spans="1:9" ht="16" thickBot="1" x14ac:dyDescent="0.25">
      <c r="A176" s="6" t="s">
        <v>123</v>
      </c>
      <c r="B176" s="7">
        <f t="shared" ref="B176:H176" si="36">+SUM(B173:B175)</f>
        <v>963</v>
      </c>
      <c r="C176" s="7">
        <f t="shared" si="36"/>
        <v>1143</v>
      </c>
      <c r="D176" s="7">
        <f t="shared" si="36"/>
        <v>1105</v>
      </c>
      <c r="E176" s="7">
        <f t="shared" si="36"/>
        <v>1028</v>
      </c>
      <c r="F176" s="7">
        <f t="shared" si="36"/>
        <v>1119</v>
      </c>
      <c r="G176" s="7">
        <f t="shared" si="36"/>
        <v>1086</v>
      </c>
      <c r="H176" s="7">
        <f t="shared" si="36"/>
        <v>695</v>
      </c>
      <c r="I176" s="7">
        <f>+SUM(I173:I175)</f>
        <v>758</v>
      </c>
    </row>
    <row r="177" spans="1:9" ht="16" thickTop="1" x14ac:dyDescent="0.2">
      <c r="A177" s="12" t="s">
        <v>111</v>
      </c>
      <c r="B177" s="13">
        <f t="shared" ref="B177:I177" si="37">+B176+B81</f>
        <v>0</v>
      </c>
      <c r="C177" s="13">
        <f t="shared" si="37"/>
        <v>0</v>
      </c>
      <c r="D177" s="13">
        <f t="shared" si="37"/>
        <v>0</v>
      </c>
      <c r="E177" s="13">
        <f t="shared" si="37"/>
        <v>0</v>
      </c>
      <c r="F177" s="13">
        <f t="shared" si="37"/>
        <v>0</v>
      </c>
      <c r="G177" s="13">
        <f t="shared" si="37"/>
        <v>0</v>
      </c>
      <c r="H177" s="13">
        <f t="shared" si="37"/>
        <v>0</v>
      </c>
      <c r="I177" s="13">
        <f t="shared" si="37"/>
        <v>0</v>
      </c>
    </row>
    <row r="178" spans="1:9" x14ac:dyDescent="0.2">
      <c r="A178" s="1" t="s">
        <v>124</v>
      </c>
    </row>
    <row r="179" spans="1:9" x14ac:dyDescent="0.2">
      <c r="A179" s="2" t="s">
        <v>100</v>
      </c>
      <c r="B179" s="3">
        <v>121</v>
      </c>
      <c r="C179" s="3">
        <v>133</v>
      </c>
      <c r="D179" s="3">
        <v>140</v>
      </c>
      <c r="E179" s="3">
        <v>160</v>
      </c>
      <c r="F179" s="3">
        <v>149</v>
      </c>
      <c r="G179" s="3">
        <v>148</v>
      </c>
      <c r="H179" s="3">
        <v>130</v>
      </c>
      <c r="I179" s="3">
        <v>124</v>
      </c>
    </row>
    <row r="180" spans="1:9" x14ac:dyDescent="0.2">
      <c r="A180" s="2" t="s">
        <v>101</v>
      </c>
      <c r="B180" s="3">
        <f>75+12</f>
        <v>87</v>
      </c>
      <c r="C180" s="3">
        <f>72+12</f>
        <v>84</v>
      </c>
      <c r="D180" s="3">
        <f>91+13</f>
        <v>104</v>
      </c>
      <c r="E180" s="3">
        <v>116</v>
      </c>
      <c r="F180" s="3">
        <v>111</v>
      </c>
      <c r="G180" s="3">
        <v>132</v>
      </c>
      <c r="H180" s="3">
        <v>136</v>
      </c>
      <c r="I180" s="3">
        <v>134</v>
      </c>
    </row>
    <row r="181" spans="1:9" x14ac:dyDescent="0.2">
      <c r="A181" s="2" t="s">
        <v>102</v>
      </c>
      <c r="B181" s="3">
        <v>46</v>
      </c>
      <c r="C181" s="3">
        <v>48</v>
      </c>
      <c r="D181" s="3">
        <v>54</v>
      </c>
      <c r="E181" s="3">
        <v>56</v>
      </c>
      <c r="F181" s="3">
        <v>50</v>
      </c>
      <c r="G181" s="3">
        <v>44</v>
      </c>
      <c r="H181" s="3">
        <v>46</v>
      </c>
      <c r="I181" s="3">
        <v>41</v>
      </c>
    </row>
    <row r="182" spans="1:9" x14ac:dyDescent="0.2">
      <c r="A182" s="2" t="s">
        <v>106</v>
      </c>
      <c r="B182" s="3">
        <v>22</v>
      </c>
      <c r="C182" s="3">
        <v>18</v>
      </c>
      <c r="D182" s="3">
        <v>18</v>
      </c>
      <c r="E182" s="3">
        <v>55</v>
      </c>
      <c r="F182" s="3">
        <v>53</v>
      </c>
      <c r="G182" s="3">
        <v>46</v>
      </c>
      <c r="H182" s="3">
        <v>43</v>
      </c>
      <c r="I182" s="3">
        <v>42</v>
      </c>
    </row>
    <row r="183" spans="1:9" x14ac:dyDescent="0.2">
      <c r="A183" s="2" t="s">
        <v>214</v>
      </c>
      <c r="B183" s="3">
        <v>27</v>
      </c>
      <c r="C183" s="3">
        <v>25</v>
      </c>
      <c r="D183" s="3">
        <v>38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</row>
    <row r="184" spans="1:9" x14ac:dyDescent="0.2">
      <c r="A184" s="2" t="s">
        <v>107</v>
      </c>
      <c r="B184" s="3">
        <v>210</v>
      </c>
      <c r="C184" s="3">
        <v>230</v>
      </c>
      <c r="D184" s="3">
        <v>233</v>
      </c>
      <c r="E184" s="3">
        <v>217</v>
      </c>
      <c r="F184" s="3">
        <v>195</v>
      </c>
      <c r="G184" s="3">
        <v>214</v>
      </c>
      <c r="H184" s="3">
        <v>222</v>
      </c>
      <c r="I184" s="3">
        <v>220</v>
      </c>
    </row>
    <row r="185" spans="1:9" x14ac:dyDescent="0.2">
      <c r="A185" s="4" t="s">
        <v>119</v>
      </c>
      <c r="B185" s="5">
        <f t="shared" ref="B185:I185" si="38">+SUM(B179:B184)</f>
        <v>513</v>
      </c>
      <c r="C185" s="5">
        <f t="shared" si="38"/>
        <v>538</v>
      </c>
      <c r="D185" s="5">
        <f t="shared" si="38"/>
        <v>587</v>
      </c>
      <c r="E185" s="5">
        <f t="shared" si="38"/>
        <v>604</v>
      </c>
      <c r="F185" s="5">
        <f t="shared" si="38"/>
        <v>558</v>
      </c>
      <c r="G185" s="5">
        <f t="shared" si="38"/>
        <v>584</v>
      </c>
      <c r="H185" s="5">
        <f t="shared" si="38"/>
        <v>577</v>
      </c>
      <c r="I185" s="5">
        <f t="shared" si="38"/>
        <v>561</v>
      </c>
    </row>
    <row r="186" spans="1:9" x14ac:dyDescent="0.2">
      <c r="A186" s="2" t="s">
        <v>104</v>
      </c>
      <c r="B186" s="3">
        <v>18</v>
      </c>
      <c r="C186" s="3">
        <v>27</v>
      </c>
      <c r="D186" s="3">
        <v>28</v>
      </c>
      <c r="E186" s="3">
        <v>33</v>
      </c>
      <c r="F186" s="3">
        <v>31</v>
      </c>
      <c r="G186" s="3">
        <v>25</v>
      </c>
      <c r="H186" s="3">
        <v>26</v>
      </c>
      <c r="I186" s="3">
        <v>22</v>
      </c>
    </row>
    <row r="187" spans="1:9" x14ac:dyDescent="0.2">
      <c r="A187" s="2" t="s">
        <v>108</v>
      </c>
      <c r="B187" s="3">
        <v>75</v>
      </c>
      <c r="C187" s="3">
        <v>84</v>
      </c>
      <c r="D187" s="3">
        <v>91</v>
      </c>
      <c r="E187" s="3">
        <v>110</v>
      </c>
      <c r="F187" s="3">
        <v>116</v>
      </c>
      <c r="G187" s="3">
        <v>112</v>
      </c>
      <c r="H187" s="3">
        <v>141</v>
      </c>
      <c r="I187" s="3">
        <v>134</v>
      </c>
    </row>
    <row r="188" spans="1:9" ht="16" thickBot="1" x14ac:dyDescent="0.25">
      <c r="A188" s="6" t="s">
        <v>125</v>
      </c>
      <c r="B188" s="7">
        <f t="shared" ref="B188:H188" si="39">+SUM(B185:B187)</f>
        <v>606</v>
      </c>
      <c r="C188" s="7">
        <f t="shared" si="39"/>
        <v>649</v>
      </c>
      <c r="D188" s="7">
        <f t="shared" si="39"/>
        <v>706</v>
      </c>
      <c r="E188" s="7">
        <f t="shared" si="39"/>
        <v>747</v>
      </c>
      <c r="F188" s="7">
        <f t="shared" si="39"/>
        <v>705</v>
      </c>
      <c r="G188" s="7">
        <f t="shared" si="39"/>
        <v>721</v>
      </c>
      <c r="H188" s="7">
        <f t="shared" si="39"/>
        <v>744</v>
      </c>
      <c r="I188" s="7">
        <f>+SUM(I185:I187)</f>
        <v>717</v>
      </c>
    </row>
    <row r="189" spans="1:9" ht="16" thickTop="1" x14ac:dyDescent="0.2">
      <c r="A189" s="12" t="s">
        <v>111</v>
      </c>
      <c r="B189" s="13">
        <f t="shared" ref="B189:I189" si="40">+B188-B66</f>
        <v>0</v>
      </c>
      <c r="C189" s="13">
        <f t="shared" si="40"/>
        <v>0</v>
      </c>
      <c r="D189" s="13">
        <f t="shared" si="40"/>
        <v>0</v>
      </c>
      <c r="E189" s="13">
        <f t="shared" si="40"/>
        <v>0</v>
      </c>
      <c r="F189" s="13">
        <f t="shared" si="40"/>
        <v>0</v>
      </c>
      <c r="G189" s="13">
        <f t="shared" si="40"/>
        <v>0</v>
      </c>
      <c r="H189" s="13">
        <f t="shared" si="40"/>
        <v>0</v>
      </c>
      <c r="I189" s="13">
        <f t="shared" si="40"/>
        <v>0</v>
      </c>
    </row>
    <row r="190" spans="1:9" x14ac:dyDescent="0.2">
      <c r="A190" s="14" t="s">
        <v>126</v>
      </c>
      <c r="B190" s="14"/>
      <c r="C190" s="14"/>
      <c r="D190" s="14"/>
      <c r="E190" s="14"/>
      <c r="F190" s="14"/>
      <c r="G190" s="14"/>
      <c r="H190" s="14"/>
      <c r="I190" s="14"/>
    </row>
    <row r="191" spans="1:9" x14ac:dyDescent="0.2">
      <c r="A191" s="28" t="s">
        <v>127</v>
      </c>
    </row>
    <row r="192" spans="1:9" x14ac:dyDescent="0.2">
      <c r="A192" s="33" t="s">
        <v>100</v>
      </c>
      <c r="B192" s="34">
        <v>0.12</v>
      </c>
      <c r="C192" s="34">
        <v>0.08</v>
      </c>
      <c r="D192" s="34">
        <v>0.03</v>
      </c>
      <c r="E192" s="34">
        <v>-0.02</v>
      </c>
      <c r="F192" s="34">
        <v>7.0000000000000007E-2</v>
      </c>
      <c r="G192" s="34">
        <v>-0.09</v>
      </c>
      <c r="H192" s="34">
        <v>0.19</v>
      </c>
      <c r="I192" s="34">
        <v>7.0000000000000007E-2</v>
      </c>
    </row>
    <row r="193" spans="1:9" x14ac:dyDescent="0.2">
      <c r="A193" s="31" t="s">
        <v>113</v>
      </c>
      <c r="B193" s="30">
        <v>0.14000000000000001</v>
      </c>
      <c r="C193" s="30">
        <v>0.1</v>
      </c>
      <c r="D193" s="30">
        <v>0.04</v>
      </c>
      <c r="E193" s="30">
        <v>-0.04</v>
      </c>
      <c r="F193" s="30">
        <v>0.08</v>
      </c>
      <c r="G193" s="30">
        <v>-7.0000000000000007E-2</v>
      </c>
      <c r="H193" s="30">
        <v>0.25</v>
      </c>
      <c r="I193" s="30">
        <v>0.05</v>
      </c>
    </row>
    <row r="194" spans="1:9" x14ac:dyDescent="0.2">
      <c r="A194" s="31" t="s">
        <v>114</v>
      </c>
      <c r="B194" s="30">
        <v>0.12</v>
      </c>
      <c r="C194" s="30">
        <v>0.08</v>
      </c>
      <c r="D194" s="30">
        <v>0.03</v>
      </c>
      <c r="E194" s="30">
        <v>0.01</v>
      </c>
      <c r="F194" s="30">
        <v>7.0000000000000007E-2</v>
      </c>
      <c r="G194" s="30">
        <v>-0.12</v>
      </c>
      <c r="H194" s="30">
        <v>0.08</v>
      </c>
      <c r="I194" s="30">
        <v>0.09</v>
      </c>
    </row>
    <row r="195" spans="1:9" x14ac:dyDescent="0.2">
      <c r="A195" s="31" t="s">
        <v>115</v>
      </c>
      <c r="B195" s="30">
        <v>-0.05</v>
      </c>
      <c r="C195" s="30">
        <v>-0.13</v>
      </c>
      <c r="D195" s="30">
        <v>-0.1</v>
      </c>
      <c r="E195" s="30">
        <v>-0.08</v>
      </c>
      <c r="F195" s="30">
        <v>0</v>
      </c>
      <c r="G195" s="30">
        <v>-0.14000000000000001</v>
      </c>
      <c r="H195" s="30">
        <v>-0.02</v>
      </c>
      <c r="I195" s="30">
        <v>0.25</v>
      </c>
    </row>
    <row r="196" spans="1:9" x14ac:dyDescent="0.2">
      <c r="A196" s="33" t="s">
        <v>101</v>
      </c>
      <c r="B196" s="34">
        <v>0.36</v>
      </c>
      <c r="C196" s="34">
        <v>0.31</v>
      </c>
      <c r="D196" s="34">
        <v>0.18</v>
      </c>
      <c r="E196" s="34">
        <v>0.09</v>
      </c>
      <c r="F196" s="34">
        <v>0.11</v>
      </c>
      <c r="G196" s="34">
        <v>-0.01</v>
      </c>
      <c r="H196" s="34">
        <v>0.23</v>
      </c>
      <c r="I196" s="34">
        <v>0.12</v>
      </c>
    </row>
    <row r="197" spans="1:9" x14ac:dyDescent="0.2">
      <c r="A197" s="31" t="s">
        <v>113</v>
      </c>
      <c r="B197" s="30">
        <v>0.47</v>
      </c>
      <c r="C197" s="30">
        <v>0.37</v>
      </c>
      <c r="D197" s="30">
        <v>0.16</v>
      </c>
      <c r="E197" s="30">
        <v>0.06</v>
      </c>
      <c r="F197" s="30">
        <v>0.12</v>
      </c>
      <c r="G197" s="30">
        <v>-0.03</v>
      </c>
      <c r="H197" s="30">
        <v>0.18</v>
      </c>
      <c r="I197" s="30">
        <v>0.09</v>
      </c>
    </row>
    <row r="198" spans="1:9" x14ac:dyDescent="0.2">
      <c r="A198" s="31" t="s">
        <v>114</v>
      </c>
      <c r="B198" s="30">
        <v>0.19</v>
      </c>
      <c r="C198" s="30">
        <v>0.25</v>
      </c>
      <c r="D198" s="30">
        <v>0.25</v>
      </c>
      <c r="E198" s="30">
        <v>0.16</v>
      </c>
      <c r="F198" s="30">
        <v>0.09</v>
      </c>
      <c r="G198" s="30">
        <v>0.02</v>
      </c>
      <c r="H198" s="30">
        <v>0.31</v>
      </c>
      <c r="I198" s="30">
        <v>0.16</v>
      </c>
    </row>
    <row r="199" spans="1:9" x14ac:dyDescent="0.2">
      <c r="A199" s="31" t="s">
        <v>115</v>
      </c>
      <c r="B199" s="30">
        <v>0.28999999999999998</v>
      </c>
      <c r="C199" s="30">
        <v>0.15</v>
      </c>
      <c r="D199" s="30">
        <v>0.13</v>
      </c>
      <c r="E199" s="30">
        <v>0.06</v>
      </c>
      <c r="F199" s="30">
        <v>0.05</v>
      </c>
      <c r="G199" s="30">
        <v>-0.03</v>
      </c>
      <c r="H199" s="30">
        <v>0.22</v>
      </c>
      <c r="I199" s="30">
        <v>0.17</v>
      </c>
    </row>
    <row r="200" spans="1:9" x14ac:dyDescent="0.2">
      <c r="A200" s="33" t="s">
        <v>102</v>
      </c>
      <c r="B200" s="34">
        <v>0.19</v>
      </c>
      <c r="C200" s="34">
        <v>0.27</v>
      </c>
      <c r="D200" s="34">
        <v>0.17</v>
      </c>
      <c r="E200" s="34">
        <v>0.18</v>
      </c>
      <c r="F200" s="34">
        <v>0.24</v>
      </c>
      <c r="G200" s="34">
        <v>0.11</v>
      </c>
      <c r="H200" s="34">
        <v>0.24</v>
      </c>
      <c r="I200" s="34">
        <v>-0.13</v>
      </c>
    </row>
    <row r="201" spans="1:9" x14ac:dyDescent="0.2">
      <c r="A201" s="31" t="s">
        <v>113</v>
      </c>
      <c r="B201" s="30">
        <v>0.28000000000000003</v>
      </c>
      <c r="C201" s="30">
        <v>0.33</v>
      </c>
      <c r="D201" s="30">
        <v>0.18</v>
      </c>
      <c r="E201" s="30">
        <v>0.16</v>
      </c>
      <c r="F201" s="30">
        <v>0.25</v>
      </c>
      <c r="G201" s="30">
        <v>0.12</v>
      </c>
      <c r="H201" s="30">
        <v>0.24</v>
      </c>
      <c r="I201" s="30">
        <v>-0.1</v>
      </c>
    </row>
    <row r="202" spans="1:9" x14ac:dyDescent="0.2">
      <c r="A202" s="31" t="s">
        <v>114</v>
      </c>
      <c r="B202" s="30">
        <v>7.0000000000000007E-2</v>
      </c>
      <c r="C202" s="30">
        <v>0.17</v>
      </c>
      <c r="D202" s="30">
        <v>0.18</v>
      </c>
      <c r="E202" s="30">
        <v>0.23</v>
      </c>
      <c r="F202" s="30">
        <v>0.23</v>
      </c>
      <c r="G202" s="30">
        <v>0.08</v>
      </c>
      <c r="H202" s="30">
        <v>0.24</v>
      </c>
      <c r="I202" s="30">
        <v>-0.21</v>
      </c>
    </row>
    <row r="203" spans="1:9" x14ac:dyDescent="0.2">
      <c r="A203" s="31" t="s">
        <v>115</v>
      </c>
      <c r="B203" s="30">
        <v>0.01</v>
      </c>
      <c r="C203" s="30">
        <v>7.0000000000000007E-2</v>
      </c>
      <c r="D203" s="30">
        <v>0.03</v>
      </c>
      <c r="E203" s="30">
        <v>-0.01</v>
      </c>
      <c r="F203" s="30">
        <v>0.08</v>
      </c>
      <c r="G203" s="30">
        <v>0.11</v>
      </c>
      <c r="H203" s="30">
        <v>0.32</v>
      </c>
      <c r="I203" s="30">
        <v>-0.06</v>
      </c>
    </row>
    <row r="204" spans="1:9" x14ac:dyDescent="0.2">
      <c r="A204" s="33" t="s">
        <v>106</v>
      </c>
      <c r="B204" s="34">
        <v>0.09</v>
      </c>
      <c r="C204" s="34">
        <v>0.22</v>
      </c>
      <c r="D204" s="34">
        <v>7.0000000000000007E-2</v>
      </c>
      <c r="E204" s="34">
        <v>0.1</v>
      </c>
      <c r="F204" s="34">
        <v>0.13</v>
      </c>
      <c r="G204" s="34">
        <v>0.01</v>
      </c>
      <c r="H204" s="34">
        <v>0.06</v>
      </c>
      <c r="I204" s="34">
        <v>0.16</v>
      </c>
    </row>
    <row r="205" spans="1:9" x14ac:dyDescent="0.2">
      <c r="A205" s="31" t="s">
        <v>113</v>
      </c>
      <c r="B205" s="30">
        <v>0.23</v>
      </c>
      <c r="C205" s="30">
        <v>0.34</v>
      </c>
      <c r="D205" s="30">
        <v>7.0000000000000007E-2</v>
      </c>
      <c r="E205" s="30">
        <v>0.09</v>
      </c>
      <c r="F205" s="30">
        <v>0.12</v>
      </c>
      <c r="G205" s="30">
        <v>0</v>
      </c>
      <c r="H205" s="30">
        <v>0.06</v>
      </c>
      <c r="I205" s="30">
        <v>0.17</v>
      </c>
    </row>
    <row r="206" spans="1:9" x14ac:dyDescent="0.2">
      <c r="A206" s="31" t="s">
        <v>114</v>
      </c>
      <c r="B206" s="30">
        <v>-0.08</v>
      </c>
      <c r="C206" s="30">
        <v>0.05</v>
      </c>
      <c r="D206" s="30">
        <v>0.1</v>
      </c>
      <c r="E206" s="30">
        <v>0.15</v>
      </c>
      <c r="F206" s="30">
        <v>0.15</v>
      </c>
      <c r="G206" s="30">
        <v>0.03</v>
      </c>
      <c r="H206" s="30">
        <v>0.09</v>
      </c>
      <c r="I206" s="30">
        <v>0.12</v>
      </c>
    </row>
    <row r="207" spans="1:9" x14ac:dyDescent="0.2">
      <c r="A207" s="31" t="s">
        <v>115</v>
      </c>
      <c r="B207" s="30">
        <v>-0.06</v>
      </c>
      <c r="C207" s="30">
        <v>0.03</v>
      </c>
      <c r="D207" s="30">
        <v>-0.06</v>
      </c>
      <c r="E207" s="30">
        <v>-0.08</v>
      </c>
      <c r="F207" s="30">
        <v>0.08</v>
      </c>
      <c r="G207" s="30">
        <v>-0.04</v>
      </c>
      <c r="H207" s="30">
        <v>-0.11</v>
      </c>
      <c r="I207" s="30">
        <v>0.28000000000000003</v>
      </c>
    </row>
    <row r="208" spans="1:9" x14ac:dyDescent="0.2">
      <c r="A208" s="33" t="s">
        <v>214</v>
      </c>
      <c r="B208" s="34">
        <v>0.08</v>
      </c>
      <c r="C208" s="34">
        <v>0.13</v>
      </c>
      <c r="D208" s="34">
        <v>0.14000000000000001</v>
      </c>
      <c r="E208" s="34">
        <v>0.1</v>
      </c>
      <c r="F208" s="34">
        <v>0.13</v>
      </c>
      <c r="G208" s="34">
        <v>0.01</v>
      </c>
      <c r="H208" s="34">
        <v>0.06</v>
      </c>
      <c r="I208" s="34">
        <v>0.16</v>
      </c>
    </row>
    <row r="209" spans="1:9" x14ac:dyDescent="0.2">
      <c r="A209" s="31" t="s">
        <v>113</v>
      </c>
      <c r="B209" s="30">
        <v>0.09</v>
      </c>
      <c r="C209" s="30">
        <v>0.14000000000000001</v>
      </c>
      <c r="D209" s="30">
        <v>0.17</v>
      </c>
      <c r="E209" s="62" t="s">
        <v>215</v>
      </c>
      <c r="F209" s="62" t="s">
        <v>215</v>
      </c>
      <c r="G209" s="62" t="s">
        <v>215</v>
      </c>
      <c r="H209" s="62" t="s">
        <v>215</v>
      </c>
      <c r="I209" s="62" t="s">
        <v>215</v>
      </c>
    </row>
    <row r="210" spans="1:9" x14ac:dyDescent="0.2">
      <c r="A210" s="31" t="s">
        <v>114</v>
      </c>
      <c r="B210" s="30">
        <v>0.05</v>
      </c>
      <c r="C210" s="30">
        <v>0.11</v>
      </c>
      <c r="D210" s="30">
        <v>0.08</v>
      </c>
      <c r="E210" s="62" t="s">
        <v>215</v>
      </c>
      <c r="F210" s="62" t="s">
        <v>215</v>
      </c>
      <c r="G210" s="62" t="s">
        <v>215</v>
      </c>
      <c r="H210" s="62" t="s">
        <v>215</v>
      </c>
      <c r="I210" s="62" t="s">
        <v>215</v>
      </c>
    </row>
    <row r="211" spans="1:9" x14ac:dyDescent="0.2">
      <c r="A211" s="31" t="s">
        <v>115</v>
      </c>
      <c r="B211" s="30">
        <v>0.05</v>
      </c>
      <c r="C211" s="30">
        <v>0.11</v>
      </c>
      <c r="D211" s="30">
        <v>0.02</v>
      </c>
      <c r="E211" s="62" t="s">
        <v>215</v>
      </c>
      <c r="F211" s="62" t="s">
        <v>215</v>
      </c>
      <c r="G211" s="62" t="s">
        <v>215</v>
      </c>
      <c r="H211" s="62" t="s">
        <v>215</v>
      </c>
      <c r="I211" s="62" t="s">
        <v>215</v>
      </c>
    </row>
    <row r="212" spans="1:9" x14ac:dyDescent="0.2">
      <c r="A212" s="33" t="s">
        <v>107</v>
      </c>
      <c r="B212" s="34">
        <v>-0.02</v>
      </c>
      <c r="C212" s="34">
        <v>-0.3</v>
      </c>
      <c r="D212" s="34">
        <v>0.02</v>
      </c>
      <c r="E212" s="34">
        <v>0.12</v>
      </c>
      <c r="F212" s="34">
        <v>-0.53</v>
      </c>
      <c r="G212" s="34">
        <v>-0.26</v>
      </c>
      <c r="H212" s="34">
        <v>-0.17</v>
      </c>
      <c r="I212" s="34">
        <v>3.02</v>
      </c>
    </row>
    <row r="213" spans="1:9" x14ac:dyDescent="0.2">
      <c r="A213" s="35" t="s">
        <v>103</v>
      </c>
      <c r="B213" s="37">
        <v>0.17</v>
      </c>
      <c r="C213" s="37">
        <v>0.11</v>
      </c>
      <c r="D213" s="37">
        <v>-0.03</v>
      </c>
      <c r="E213" s="37">
        <v>0.05</v>
      </c>
      <c r="F213" s="37">
        <v>0.15</v>
      </c>
      <c r="G213" s="37">
        <v>-0.02</v>
      </c>
      <c r="H213" s="37">
        <v>0.17</v>
      </c>
      <c r="I213" s="37">
        <v>0.06</v>
      </c>
    </row>
    <row r="214" spans="1:9" x14ac:dyDescent="0.2">
      <c r="A214" s="33" t="s">
        <v>104</v>
      </c>
      <c r="B214" s="34">
        <v>0.21</v>
      </c>
      <c r="C214" s="34">
        <v>0.02</v>
      </c>
      <c r="D214" s="34">
        <v>0.06</v>
      </c>
      <c r="E214" s="34">
        <v>-0.11</v>
      </c>
      <c r="F214" s="34">
        <v>0.03</v>
      </c>
      <c r="G214" s="34">
        <v>-0.01</v>
      </c>
      <c r="H214" s="34">
        <v>0.16</v>
      </c>
      <c r="I214" s="34">
        <v>7.0000000000000007E-2</v>
      </c>
    </row>
    <row r="215" spans="1:9" x14ac:dyDescent="0.2">
      <c r="A215" s="31" t="s">
        <v>113</v>
      </c>
      <c r="B215" s="30">
        <v>0</v>
      </c>
      <c r="C215" s="30">
        <v>0</v>
      </c>
      <c r="D215" s="30">
        <v>0</v>
      </c>
      <c r="E215" s="30">
        <v>0</v>
      </c>
      <c r="F215" s="30">
        <v>0.03</v>
      </c>
      <c r="G215" s="30">
        <v>0.01</v>
      </c>
      <c r="H215" s="30">
        <v>0.17</v>
      </c>
      <c r="I215" s="30">
        <v>0.06</v>
      </c>
    </row>
    <row r="216" spans="1:9" x14ac:dyDescent="0.2">
      <c r="A216" s="31" t="s">
        <v>114</v>
      </c>
      <c r="B216" s="30">
        <v>0</v>
      </c>
      <c r="C216" s="30">
        <v>0</v>
      </c>
      <c r="D216" s="30">
        <v>0</v>
      </c>
      <c r="E216" s="30">
        <v>0</v>
      </c>
      <c r="F216" s="30">
        <v>0</v>
      </c>
      <c r="G216" s="30">
        <v>-0.22</v>
      </c>
      <c r="H216" s="30">
        <v>0.13</v>
      </c>
      <c r="I216" s="30">
        <v>-0.03</v>
      </c>
    </row>
    <row r="217" spans="1:9" x14ac:dyDescent="0.2">
      <c r="A217" s="31" t="s">
        <v>115</v>
      </c>
      <c r="B217" s="30">
        <v>0</v>
      </c>
      <c r="C217" s="30">
        <v>0</v>
      </c>
      <c r="D217" s="30">
        <v>0</v>
      </c>
      <c r="E217" s="30">
        <v>0</v>
      </c>
      <c r="F217" s="30">
        <v>0</v>
      </c>
      <c r="G217" s="30">
        <v>0.08</v>
      </c>
      <c r="H217" s="30">
        <v>0.14000000000000001</v>
      </c>
      <c r="I217" s="30">
        <v>-0.16</v>
      </c>
    </row>
    <row r="218" spans="1:9" x14ac:dyDescent="0.2">
      <c r="A218" s="31" t="s">
        <v>121</v>
      </c>
      <c r="B218" s="30">
        <v>0.21</v>
      </c>
      <c r="C218" s="30">
        <v>0.02</v>
      </c>
      <c r="D218" s="30">
        <v>0.06</v>
      </c>
      <c r="E218" s="30">
        <v>-0.11</v>
      </c>
      <c r="F218" s="30">
        <v>0</v>
      </c>
      <c r="G218" s="30">
        <v>-0.14000000000000001</v>
      </c>
      <c r="H218" s="30">
        <v>-0.01</v>
      </c>
      <c r="I218" s="30">
        <v>0.42</v>
      </c>
    </row>
    <row r="219" spans="1:9" x14ac:dyDescent="0.2">
      <c r="A219" s="29" t="s">
        <v>108</v>
      </c>
      <c r="B219" s="30">
        <v>0</v>
      </c>
      <c r="C219" s="30">
        <v>0</v>
      </c>
      <c r="D219" s="30">
        <v>0</v>
      </c>
      <c r="E219" s="30">
        <v>0</v>
      </c>
      <c r="F219" s="30">
        <v>0</v>
      </c>
      <c r="G219" s="30">
        <v>0</v>
      </c>
      <c r="H219" s="30">
        <v>0</v>
      </c>
      <c r="I219" s="30">
        <v>0</v>
      </c>
    </row>
    <row r="220" spans="1:9" ht="16" thickBot="1" x14ac:dyDescent="0.25">
      <c r="A220" s="32" t="s">
        <v>105</v>
      </c>
      <c r="B220" s="36">
        <v>0.19</v>
      </c>
      <c r="C220" s="36">
        <v>0.1</v>
      </c>
      <c r="D220" s="36">
        <v>0.06</v>
      </c>
      <c r="E220" s="36">
        <v>0.04</v>
      </c>
      <c r="F220" s="36">
        <v>0.11</v>
      </c>
      <c r="G220" s="36">
        <v>-0.02</v>
      </c>
      <c r="H220" s="36">
        <v>0.17</v>
      </c>
      <c r="I220" s="36">
        <v>0.06</v>
      </c>
    </row>
    <row r="221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workbookViewId="0">
      <selection activeCell="B7" sqref="B7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9">
        <f>[1]Historicals!B142</f>
        <v>30601</v>
      </c>
      <c r="C3" s="9">
        <f>[1]Historicals!C142</f>
        <v>32376</v>
      </c>
      <c r="D3" s="9">
        <f>[1]Historicals!D142</f>
        <v>34350</v>
      </c>
      <c r="E3" s="9">
        <f>[1]Historicals!E142</f>
        <v>36397</v>
      </c>
      <c r="F3" s="9">
        <f>[1]Historicals!F142</f>
        <v>39117</v>
      </c>
      <c r="G3" s="9">
        <f>[1]Historicals!G142</f>
        <v>37403</v>
      </c>
      <c r="H3" s="9">
        <f>[1]Historicals!H142</f>
        <v>44538</v>
      </c>
      <c r="I3" s="9">
        <f>[1]Historicals!I142</f>
        <v>46710</v>
      </c>
      <c r="J3" s="9">
        <f>I3*(1+J4)</f>
        <v>48998.789999999994</v>
      </c>
      <c r="K3" s="9">
        <f t="shared" ref="K3:N3" si="2">J3*(1+K4)</f>
        <v>51399.730709999989</v>
      </c>
      <c r="L3" s="9">
        <f t="shared" si="2"/>
        <v>53918.317514789982</v>
      </c>
      <c r="M3" s="9">
        <f t="shared" si="2"/>
        <v>56560.315073014688</v>
      </c>
      <c r="N3" s="9">
        <f t="shared" si="2"/>
        <v>59331.770511592404</v>
      </c>
      <c r="O3" t="s">
        <v>142</v>
      </c>
    </row>
    <row r="4" spans="1:15" x14ac:dyDescent="0.2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v>4.9000000000000002E-2</v>
      </c>
      <c r="K4" s="47">
        <v>4.9000000000000002E-2</v>
      </c>
      <c r="L4" s="47">
        <v>4.9000000000000002E-2</v>
      </c>
      <c r="M4" s="47">
        <v>4.9000000000000002E-2</v>
      </c>
      <c r="N4" s="47">
        <v>4.9000000000000002E-2</v>
      </c>
    </row>
    <row r="5" spans="1:15" x14ac:dyDescent="0.2">
      <c r="A5" s="41" t="s">
        <v>130</v>
      </c>
      <c r="B5" s="48">
        <f t="shared" ref="B5:I5" si="4">+B11+B8</f>
        <v>4839</v>
      </c>
      <c r="C5" s="48">
        <f t="shared" si="4"/>
        <v>5291</v>
      </c>
      <c r="D5" s="48">
        <f t="shared" si="4"/>
        <v>5651</v>
      </c>
      <c r="E5" s="48">
        <f t="shared" si="4"/>
        <v>5126</v>
      </c>
      <c r="F5" s="48">
        <f t="shared" si="4"/>
        <v>5555</v>
      </c>
      <c r="G5" s="48">
        <f t="shared" si="4"/>
        <v>3697</v>
      </c>
      <c r="H5" s="48">
        <f t="shared" si="4"/>
        <v>7667</v>
      </c>
      <c r="I5" s="48">
        <f t="shared" si="4"/>
        <v>7573</v>
      </c>
      <c r="J5" s="48">
        <f>J3*J7</f>
        <v>7944.0769999999993</v>
      </c>
      <c r="K5" s="48">
        <f t="shared" ref="K5:N5" si="5">K3*K7</f>
        <v>8333.3367729999973</v>
      </c>
      <c r="L5" s="48">
        <f t="shared" si="5"/>
        <v>8741.6702748769967</v>
      </c>
      <c r="M5" s="48">
        <f t="shared" si="5"/>
        <v>9170.0121183459687</v>
      </c>
      <c r="N5" s="48">
        <f t="shared" si="5"/>
        <v>9619.3427121449204</v>
      </c>
      <c r="O5" t="s">
        <v>143</v>
      </c>
    </row>
    <row r="6" spans="1:15" x14ac:dyDescent="0.2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4.8999999999999932E-2</v>
      </c>
      <c r="K6" s="47">
        <f t="shared" si="7"/>
        <v>4.899999999999971E-2</v>
      </c>
      <c r="L6" s="47">
        <f t="shared" si="7"/>
        <v>4.8999999999999932E-2</v>
      </c>
      <c r="M6" s="47">
        <f t="shared" si="7"/>
        <v>4.8999999999999932E-2</v>
      </c>
      <c r="N6" s="47">
        <f t="shared" si="7"/>
        <v>4.8999999999999932E-2</v>
      </c>
    </row>
    <row r="7" spans="1:15" x14ac:dyDescent="0.2">
      <c r="A7" s="42" t="s">
        <v>131</v>
      </c>
      <c r="B7" s="47">
        <f>+IFERROR(B5/B$3,"nm")</f>
        <v>0.15813208718669325</v>
      </c>
      <c r="C7" s="47">
        <f t="shared" ref="C7:I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>I7</f>
        <v>0.16212802397773496</v>
      </c>
      <c r="K7" s="47">
        <f t="shared" ref="K7:N7" si="9">J7</f>
        <v>0.16212802397773496</v>
      </c>
      <c r="L7" s="47">
        <f t="shared" si="9"/>
        <v>0.16212802397773496</v>
      </c>
      <c r="M7" s="47">
        <f t="shared" si="9"/>
        <v>0.16212802397773496</v>
      </c>
      <c r="N7" s="47">
        <f t="shared" si="9"/>
        <v>0.16212802397773496</v>
      </c>
    </row>
    <row r="8" spans="1:15" x14ac:dyDescent="0.2">
      <c r="A8" s="41" t="s">
        <v>132</v>
      </c>
      <c r="B8" s="9">
        <f>[1]Historicals!B190</f>
        <v>606</v>
      </c>
      <c r="C8" s="9">
        <f>[1]Historicals!C190</f>
        <v>649</v>
      </c>
      <c r="D8" s="9">
        <f>[1]Historicals!D190</f>
        <v>706</v>
      </c>
      <c r="E8" s="9">
        <f>[1]Historicals!E190</f>
        <v>747</v>
      </c>
      <c r="F8" s="9">
        <f>[1]Historicals!F190</f>
        <v>705</v>
      </c>
      <c r="G8" s="9">
        <f>[1]Historicals!G190</f>
        <v>721</v>
      </c>
      <c r="H8" s="9">
        <f>[1]Historicals!H190</f>
        <v>744</v>
      </c>
      <c r="I8" s="9">
        <f>[1]Historicals!I190</f>
        <v>717</v>
      </c>
      <c r="J8" s="9">
        <f>J3*J10</f>
        <v>752.13299999999992</v>
      </c>
      <c r="K8" s="9">
        <f t="shared" ref="K8:N8" si="10">K3*K10</f>
        <v>788.9875169999998</v>
      </c>
      <c r="L8" s="9">
        <f t="shared" si="10"/>
        <v>827.6479053329997</v>
      </c>
      <c r="M8" s="9">
        <f t="shared" si="10"/>
        <v>868.20265269431661</v>
      </c>
      <c r="N8" s="9">
        <f t="shared" si="10"/>
        <v>910.74458267633804</v>
      </c>
      <c r="O8" t="s">
        <v>144</v>
      </c>
    </row>
    <row r="9" spans="1:15" x14ac:dyDescent="0.2">
      <c r="A9" s="42" t="s">
        <v>129</v>
      </c>
      <c r="B9" s="47" t="str">
        <f t="shared" ref="B9:H9" si="11">+IFERROR(B8/A8-1,"nm")</f>
        <v>nm</v>
      </c>
      <c r="C9" s="47">
        <f t="shared" si="11"/>
        <v>7.0957095709570872E-2</v>
      </c>
      <c r="D9" s="47">
        <f t="shared" si="11"/>
        <v>8.7827426810477727E-2</v>
      </c>
      <c r="E9" s="47">
        <f t="shared" si="11"/>
        <v>5.8073654390934815E-2</v>
      </c>
      <c r="F9" s="47">
        <f t="shared" si="11"/>
        <v>-5.6224899598393607E-2</v>
      </c>
      <c r="G9" s="47">
        <f t="shared" si="11"/>
        <v>2.2695035460992941E-2</v>
      </c>
      <c r="H9" s="47">
        <f t="shared" si="11"/>
        <v>3.1900138696255187E-2</v>
      </c>
      <c r="I9" s="47">
        <f>+IFERROR(I8/H8-1,"nm")</f>
        <v>-3.6290322580645129E-2</v>
      </c>
      <c r="J9" s="47">
        <f t="shared" ref="J9:N9" si="12">+IFERROR(J8/I8-1,"nm")</f>
        <v>4.8999999999999932E-2</v>
      </c>
      <c r="K9" s="47">
        <f t="shared" si="12"/>
        <v>4.8999999999999932E-2</v>
      </c>
      <c r="L9" s="47">
        <f t="shared" si="12"/>
        <v>4.8999999999999932E-2</v>
      </c>
      <c r="M9" s="47">
        <f t="shared" si="12"/>
        <v>4.8999999999999932E-2</v>
      </c>
      <c r="N9" s="47">
        <f t="shared" si="12"/>
        <v>4.8999999999999932E-2</v>
      </c>
    </row>
    <row r="10" spans="1:15" x14ac:dyDescent="0.2">
      <c r="A10" s="42" t="s">
        <v>133</v>
      </c>
      <c r="B10" s="47">
        <f>+IFERROR(B8/B$3,"nm")</f>
        <v>1.9803274402797295E-2</v>
      </c>
      <c r="C10" s="47">
        <f t="shared" ref="C10:I10" si="13">+IFERROR(C8/C$3,"nm")</f>
        <v>2.0045712873733631E-2</v>
      </c>
      <c r="D10" s="47">
        <f t="shared" si="13"/>
        <v>2.0553129548762736E-2</v>
      </c>
      <c r="E10" s="47">
        <f t="shared" si="13"/>
        <v>2.0523669533203285E-2</v>
      </c>
      <c r="F10" s="47">
        <f t="shared" si="13"/>
        <v>1.8022854513382928E-2</v>
      </c>
      <c r="G10" s="47">
        <f t="shared" si="13"/>
        <v>1.9276528620698875E-2</v>
      </c>
      <c r="H10" s="47">
        <f t="shared" si="13"/>
        <v>1.6704836319547355E-2</v>
      </c>
      <c r="I10" s="47">
        <f t="shared" si="13"/>
        <v>1.5350032113037893E-2</v>
      </c>
      <c r="J10" s="47">
        <f>I10</f>
        <v>1.5350032113037893E-2</v>
      </c>
      <c r="K10" s="47">
        <f t="shared" ref="K10:N10" si="14">J10</f>
        <v>1.5350032113037893E-2</v>
      </c>
      <c r="L10" s="47">
        <f t="shared" si="14"/>
        <v>1.5350032113037893E-2</v>
      </c>
      <c r="M10" s="47">
        <f t="shared" si="14"/>
        <v>1.5350032113037893E-2</v>
      </c>
      <c r="N10" s="47">
        <f t="shared" si="14"/>
        <v>1.5350032113037893E-2</v>
      </c>
    </row>
    <row r="11" spans="1:15" x14ac:dyDescent="0.2">
      <c r="A11" s="41" t="s">
        <v>134</v>
      </c>
      <c r="B11" s="9">
        <f>[1]Historicals!B154</f>
        <v>4233</v>
      </c>
      <c r="C11" s="9">
        <f>[1]Historicals!C154</f>
        <v>4642</v>
      </c>
      <c r="D11" s="9">
        <f>[1]Historicals!D154</f>
        <v>4945</v>
      </c>
      <c r="E11" s="9">
        <f>[1]Historicals!E154</f>
        <v>4379</v>
      </c>
      <c r="F11" s="9">
        <f>[1]Historicals!F154</f>
        <v>4850</v>
      </c>
      <c r="G11" s="9">
        <f>[1]Historicals!G154</f>
        <v>2976</v>
      </c>
      <c r="H11" s="9">
        <f>[1]Historicals!H154</f>
        <v>6923</v>
      </c>
      <c r="I11" s="9">
        <f>[1]Historicals!I154</f>
        <v>6856</v>
      </c>
      <c r="J11" s="48">
        <f t="shared" ref="J11:N11" si="15">J5-J8</f>
        <v>7191.9439999999995</v>
      </c>
      <c r="K11" s="48">
        <f t="shared" si="15"/>
        <v>7544.3492559999977</v>
      </c>
      <c r="L11" s="48">
        <f t="shared" si="15"/>
        <v>7914.0223695439972</v>
      </c>
      <c r="M11" s="48">
        <f t="shared" si="15"/>
        <v>8301.8094656516514</v>
      </c>
      <c r="N11" s="48">
        <f t="shared" si="15"/>
        <v>8708.5981294685826</v>
      </c>
      <c r="O11" t="s">
        <v>145</v>
      </c>
    </row>
    <row r="12" spans="1:15" x14ac:dyDescent="0.2">
      <c r="A12" s="42" t="s">
        <v>129</v>
      </c>
      <c r="B12" s="47" t="str">
        <f t="shared" ref="B12:H12" si="16">+IFERROR(B11/A11-1,"nm")</f>
        <v>nm</v>
      </c>
      <c r="C12" s="47">
        <f t="shared" si="16"/>
        <v>9.6621781242617555E-2</v>
      </c>
      <c r="D12" s="47">
        <f t="shared" si="16"/>
        <v>6.5273588970271357E-2</v>
      </c>
      <c r="E12" s="47">
        <f t="shared" si="16"/>
        <v>-0.11445904954499497</v>
      </c>
      <c r="F12" s="47">
        <f t="shared" si="16"/>
        <v>0.10755880337976698</v>
      </c>
      <c r="G12" s="47">
        <f t="shared" si="16"/>
        <v>-0.38639175257731961</v>
      </c>
      <c r="H12" s="47">
        <f t="shared" si="16"/>
        <v>1.32627688172043</v>
      </c>
      <c r="I12" s="47">
        <f>+IFERROR(I11/H11-1,"nm")</f>
        <v>-9.67788530983682E-3</v>
      </c>
      <c r="J12" s="47">
        <f t="shared" ref="J12:N12" si="17">+IFERROR(J11/I11-1,"nm")</f>
        <v>4.8999999999999932E-2</v>
      </c>
      <c r="K12" s="47">
        <f t="shared" si="17"/>
        <v>4.899999999999971E-2</v>
      </c>
      <c r="L12" s="47">
        <f t="shared" si="17"/>
        <v>4.8999999999999932E-2</v>
      </c>
      <c r="M12" s="47">
        <f t="shared" si="17"/>
        <v>4.899999999999971E-2</v>
      </c>
      <c r="N12" s="47">
        <f t="shared" si="17"/>
        <v>4.8999999999999932E-2</v>
      </c>
    </row>
    <row r="13" spans="1:15" x14ac:dyDescent="0.2">
      <c r="A13" s="42" t="s">
        <v>131</v>
      </c>
      <c r="B13" s="47">
        <f>+IFERROR(B11/B$3,"nm")</f>
        <v>0.13832881278389594</v>
      </c>
      <c r="C13" s="47">
        <f t="shared" ref="C13:N13" si="18">+IFERROR(C11/C$3,"nm")</f>
        <v>0.14337781072399308</v>
      </c>
      <c r="D13" s="47">
        <f t="shared" si="18"/>
        <v>0.14395924308588065</v>
      </c>
      <c r="E13" s="47">
        <f t="shared" si="18"/>
        <v>0.12031211363573921</v>
      </c>
      <c r="F13" s="47">
        <f t="shared" si="18"/>
        <v>0.12398701331901731</v>
      </c>
      <c r="G13" s="47">
        <f t="shared" si="18"/>
        <v>7.9565810229126011E-2</v>
      </c>
      <c r="H13" s="47">
        <f t="shared" si="18"/>
        <v>0.1554402981723472</v>
      </c>
      <c r="I13" s="47">
        <f t="shared" si="18"/>
        <v>0.14677799186469706</v>
      </c>
      <c r="J13" s="47">
        <f t="shared" si="18"/>
        <v>0.14677799186469709</v>
      </c>
      <c r="K13" s="47">
        <f t="shared" si="18"/>
        <v>0.14677799186469706</v>
      </c>
      <c r="L13" s="47">
        <f t="shared" si="18"/>
        <v>0.14677799186469706</v>
      </c>
      <c r="M13" s="47">
        <f t="shared" si="18"/>
        <v>0.14677799186469703</v>
      </c>
      <c r="N13" s="47">
        <f t="shared" si="18"/>
        <v>0.14677799186469706</v>
      </c>
    </row>
    <row r="14" spans="1:15" x14ac:dyDescent="0.2">
      <c r="A14" s="41" t="s">
        <v>135</v>
      </c>
      <c r="B14" s="9">
        <f>[1]Historicals!B178</f>
        <v>963</v>
      </c>
      <c r="C14" s="9">
        <f>[1]Historicals!C178</f>
        <v>1143</v>
      </c>
      <c r="D14" s="9">
        <f>[1]Historicals!D178</f>
        <v>1105</v>
      </c>
      <c r="E14" s="9">
        <f>[1]Historicals!E178</f>
        <v>1028</v>
      </c>
      <c r="F14" s="9">
        <f>[1]Historicals!F178</f>
        <v>1119</v>
      </c>
      <c r="G14" s="9">
        <f>[1]Historicals!G178</f>
        <v>1086</v>
      </c>
      <c r="H14" s="9">
        <f>[1]Historicals!H178</f>
        <v>695</v>
      </c>
      <c r="I14" s="9">
        <f>[1]Historicals!I178</f>
        <v>758</v>
      </c>
      <c r="J14" s="9">
        <f>J3*J16</f>
        <v>795.14199999999994</v>
      </c>
      <c r="K14" s="9">
        <f t="shared" ref="K14:N14" si="19">K3*K16</f>
        <v>834.10395799999992</v>
      </c>
      <c r="L14" s="9">
        <f t="shared" si="19"/>
        <v>874.97505194199982</v>
      </c>
      <c r="M14" s="9">
        <f t="shared" si="19"/>
        <v>917.84882948715767</v>
      </c>
      <c r="N14" s="9">
        <f t="shared" si="19"/>
        <v>962.82342213202844</v>
      </c>
      <c r="O14" t="s">
        <v>146</v>
      </c>
    </row>
    <row r="15" spans="1:15" x14ac:dyDescent="0.2">
      <c r="A15" s="42" t="s">
        <v>129</v>
      </c>
      <c r="B15" s="47" t="str">
        <f t="shared" ref="B15:H15" si="20">+IFERROR(B14/A14-1,"nm")</f>
        <v>nm</v>
      </c>
      <c r="C15" s="47">
        <f t="shared" si="20"/>
        <v>0.18691588785046731</v>
      </c>
      <c r="D15" s="47">
        <f t="shared" si="20"/>
        <v>-3.3245844269466307E-2</v>
      </c>
      <c r="E15" s="47">
        <f t="shared" si="20"/>
        <v>-6.9683257918552011E-2</v>
      </c>
      <c r="F15" s="47">
        <f t="shared" si="20"/>
        <v>8.8521400778210024E-2</v>
      </c>
      <c r="G15" s="47">
        <f t="shared" si="20"/>
        <v>-2.9490616621983934E-2</v>
      </c>
      <c r="H15" s="47">
        <f t="shared" si="20"/>
        <v>-0.36003683241252304</v>
      </c>
      <c r="I15" s="47">
        <f>+IFERROR(I14/H14-1,"nm")</f>
        <v>9.0647482014388547E-2</v>
      </c>
      <c r="J15" s="47">
        <f t="shared" ref="J15:N15" si="21">+IFERROR(J14/I14-1,"nm")</f>
        <v>4.8999999999999932E-2</v>
      </c>
      <c r="K15" s="47">
        <f t="shared" si="21"/>
        <v>4.8999999999999932E-2</v>
      </c>
      <c r="L15" s="47">
        <f t="shared" si="21"/>
        <v>4.8999999999999932E-2</v>
      </c>
      <c r="M15" s="47">
        <f t="shared" si="21"/>
        <v>4.8999999999999932E-2</v>
      </c>
      <c r="N15" s="47">
        <f t="shared" si="21"/>
        <v>4.9000000000000155E-2</v>
      </c>
    </row>
    <row r="16" spans="1:15" x14ac:dyDescent="0.2">
      <c r="A16" s="42" t="s">
        <v>133</v>
      </c>
      <c r="B16" s="47">
        <f>+IFERROR(B14/B$3,"nm")</f>
        <v>3.146955981830659E-2</v>
      </c>
      <c r="C16" s="47">
        <f t="shared" ref="C16:I16" si="22">+IFERROR(C14/C$3,"nm")</f>
        <v>3.5303928836174947E-2</v>
      </c>
      <c r="D16" s="47">
        <f t="shared" si="22"/>
        <v>3.2168850072780204E-2</v>
      </c>
      <c r="E16" s="47">
        <f t="shared" si="22"/>
        <v>2.8244086051048164E-2</v>
      </c>
      <c r="F16" s="47">
        <f t="shared" si="22"/>
        <v>2.8606488227624818E-2</v>
      </c>
      <c r="G16" s="47">
        <f t="shared" si="22"/>
        <v>2.9035104136031869E-2</v>
      </c>
      <c r="H16" s="47">
        <f t="shared" si="22"/>
        <v>1.5604652207104046E-2</v>
      </c>
      <c r="I16" s="47">
        <f t="shared" si="22"/>
        <v>1.6227788482123744E-2</v>
      </c>
      <c r="J16" s="47">
        <f>I16</f>
        <v>1.6227788482123744E-2</v>
      </c>
      <c r="K16" s="47">
        <f t="shared" ref="K16:N16" si="23">J16</f>
        <v>1.6227788482123744E-2</v>
      </c>
      <c r="L16" s="47">
        <f t="shared" si="23"/>
        <v>1.6227788482123744E-2</v>
      </c>
      <c r="M16" s="47">
        <f t="shared" si="23"/>
        <v>1.6227788482123744E-2</v>
      </c>
      <c r="N16" s="47">
        <f t="shared" si="23"/>
        <v>1.6227788482123744E-2</v>
      </c>
    </row>
    <row r="17" spans="1:15" x14ac:dyDescent="0.2">
      <c r="A17" s="9" t="s">
        <v>141</v>
      </c>
      <c r="B17" s="9">
        <f>[1]Historicals!B166</f>
        <v>3011</v>
      </c>
      <c r="C17" s="9">
        <f>[1]Historicals!C166</f>
        <v>3520</v>
      </c>
      <c r="D17" s="9">
        <f>[1]Historicals!D166</f>
        <v>3989</v>
      </c>
      <c r="E17" s="9">
        <f>[1]Historicals!E166</f>
        <v>4454</v>
      </c>
      <c r="F17" s="9">
        <f>[1]Historicals!F166</f>
        <v>4744</v>
      </c>
      <c r="G17" s="9">
        <f>[1]Historicals!G166</f>
        <v>4866</v>
      </c>
      <c r="H17" s="9">
        <f>[1]Historicals!H166</f>
        <v>4904</v>
      </c>
      <c r="I17" s="9">
        <f>[1]Historicals!I166</f>
        <v>4791</v>
      </c>
      <c r="J17" s="48">
        <f>J3*J19</f>
        <v>5025.759</v>
      </c>
      <c r="K17" s="48">
        <f t="shared" ref="K17:N17" si="24">K3*K19</f>
        <v>5272.0211909999989</v>
      </c>
      <c r="L17" s="48">
        <f t="shared" si="24"/>
        <v>5530.3502293589981</v>
      </c>
      <c r="M17" s="48">
        <f t="shared" si="24"/>
        <v>5801.3373905975886</v>
      </c>
      <c r="N17" s="48">
        <f t="shared" si="24"/>
        <v>6085.6029227368708</v>
      </c>
      <c r="O17" t="s">
        <v>147</v>
      </c>
    </row>
    <row r="18" spans="1:15" x14ac:dyDescent="0.2">
      <c r="A18" s="42" t="s">
        <v>129</v>
      </c>
      <c r="B18" s="47" t="str">
        <f t="shared" ref="B18:H18" si="25">+IFERROR(B17/A17-1,"nm")</f>
        <v>nm</v>
      </c>
      <c r="C18" s="47">
        <f t="shared" si="25"/>
        <v>0.16904682829624718</v>
      </c>
      <c r="D18" s="47">
        <f t="shared" si="25"/>
        <v>0.13323863636363642</v>
      </c>
      <c r="E18" s="47">
        <f t="shared" si="25"/>
        <v>0.11657056906492858</v>
      </c>
      <c r="F18" s="47">
        <f t="shared" si="25"/>
        <v>6.5110013471037176E-2</v>
      </c>
      <c r="G18" s="47">
        <f t="shared" si="25"/>
        <v>2.5716694772343951E-2</v>
      </c>
      <c r="H18" s="47">
        <f t="shared" si="25"/>
        <v>7.8092889436909285E-3</v>
      </c>
      <c r="I18" s="47">
        <f>+IFERROR(I17/H17-1,"nm")</f>
        <v>-2.3042414355628038E-2</v>
      </c>
      <c r="J18" s="47">
        <f t="shared" ref="J18:N18" si="26">+IFERROR(J17/I17-1,"nm")</f>
        <v>4.8999999999999932E-2</v>
      </c>
      <c r="K18" s="47">
        <f t="shared" si="26"/>
        <v>4.899999999999971E-2</v>
      </c>
      <c r="L18" s="47">
        <f t="shared" si="26"/>
        <v>4.8999999999999932E-2</v>
      </c>
      <c r="M18" s="47">
        <f t="shared" si="26"/>
        <v>4.8999999999999932E-2</v>
      </c>
      <c r="N18" s="47">
        <f t="shared" si="26"/>
        <v>4.9000000000000155E-2</v>
      </c>
    </row>
    <row r="19" spans="1:15" x14ac:dyDescent="0.2">
      <c r="A19" s="42" t="s">
        <v>133</v>
      </c>
      <c r="B19" s="47">
        <f>+IFERROR(B17/B$3,"nm")</f>
        <v>9.8395477271984569E-2</v>
      </c>
      <c r="C19" s="47">
        <f t="shared" ref="C19:I19" si="27">+IFERROR(C17/C$3,"nm")</f>
        <v>0.10872251050160613</v>
      </c>
      <c r="D19" s="47">
        <f t="shared" si="27"/>
        <v>0.11612809315866085</v>
      </c>
      <c r="E19" s="47">
        <f t="shared" si="27"/>
        <v>0.12237272302662307</v>
      </c>
      <c r="F19" s="47">
        <f t="shared" si="27"/>
        <v>0.1212771940588491</v>
      </c>
      <c r="G19" s="47">
        <f t="shared" si="27"/>
        <v>0.13009651632222013</v>
      </c>
      <c r="H19" s="47">
        <f t="shared" si="27"/>
        <v>0.11010822219228523</v>
      </c>
      <c r="I19" s="47">
        <f t="shared" si="27"/>
        <v>0.10256904303147078</v>
      </c>
      <c r="J19" s="47">
        <f>I19</f>
        <v>0.10256904303147078</v>
      </c>
      <c r="K19" s="47">
        <f t="shared" ref="K19:N19" si="28">J19</f>
        <v>0.10256904303147078</v>
      </c>
      <c r="L19" s="47">
        <f t="shared" si="28"/>
        <v>0.10256904303147078</v>
      </c>
      <c r="M19" s="47">
        <f t="shared" si="28"/>
        <v>0.10256904303147078</v>
      </c>
      <c r="N19" s="47">
        <f t="shared" si="28"/>
        <v>0.10256904303147078</v>
      </c>
    </row>
    <row r="20" spans="1:15" x14ac:dyDescent="0.2">
      <c r="A20" s="43" t="str">
        <f>+[2]Historicals!A114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[1]Historicals!B114</f>
        <v>13740</v>
      </c>
      <c r="C21" s="9">
        <f>[1]Historicals!C114</f>
        <v>14764</v>
      </c>
      <c r="D21" s="9">
        <f>[1]Historicals!D114</f>
        <v>15216</v>
      </c>
      <c r="E21" s="9">
        <f>[1]Historicals!E114</f>
        <v>14855</v>
      </c>
      <c r="F21" s="9">
        <f>[1]Historicals!F114</f>
        <v>15902</v>
      </c>
      <c r="G21" s="9">
        <f>[1]Historicals!G114</f>
        <v>14484</v>
      </c>
      <c r="H21" s="9">
        <f>[1]Historicals!H114</f>
        <v>17179</v>
      </c>
      <c r="I21" s="9">
        <f>[1]Historicals!I114</f>
        <v>18353</v>
      </c>
      <c r="J21" s="9">
        <f>I21*(1+J22)</f>
        <v>19252.296999999999</v>
      </c>
      <c r="K21" s="9">
        <f t="shared" ref="K21:N21" si="29">J21*(1+K22)</f>
        <v>20195.659552999998</v>
      </c>
      <c r="L21" s="9">
        <f t="shared" si="29"/>
        <v>21185.246871096995</v>
      </c>
      <c r="M21" s="9">
        <f t="shared" si="29"/>
        <v>22223.323967780747</v>
      </c>
      <c r="N21" s="9">
        <f t="shared" si="29"/>
        <v>23312.266842202003</v>
      </c>
    </row>
    <row r="22" spans="1:15" x14ac:dyDescent="0.2">
      <c r="A22" s="44" t="s">
        <v>129</v>
      </c>
      <c r="B22" s="47" t="str">
        <f t="shared" ref="B22:H22" si="30">+IFERROR(B21/A21-1,"nm")</f>
        <v>nm</v>
      </c>
      <c r="C22" s="47">
        <f t="shared" si="30"/>
        <v>7.4526928675400228E-2</v>
      </c>
      <c r="D22" s="47">
        <f t="shared" si="30"/>
        <v>3.0615009482525046E-2</v>
      </c>
      <c r="E22" s="47">
        <f t="shared" si="30"/>
        <v>-2.372502628811779E-2</v>
      </c>
      <c r="F22" s="47">
        <f t="shared" si="30"/>
        <v>7.0481319421070276E-2</v>
      </c>
      <c r="G22" s="47">
        <f t="shared" si="30"/>
        <v>-8.9171173437303519E-2</v>
      </c>
      <c r="H22" s="47">
        <f t="shared" si="30"/>
        <v>0.18606738470035911</v>
      </c>
      <c r="I22" s="47">
        <f>+IFERROR(I21/H21-1,"nm")</f>
        <v>6.8339251411607238E-2</v>
      </c>
      <c r="J22" s="47">
        <v>4.9000000000000002E-2</v>
      </c>
      <c r="K22" s="47">
        <f t="shared" ref="K22:N22" si="31">J22</f>
        <v>4.9000000000000002E-2</v>
      </c>
      <c r="L22" s="47">
        <f t="shared" si="31"/>
        <v>4.9000000000000002E-2</v>
      </c>
      <c r="M22" s="47">
        <f t="shared" si="31"/>
        <v>4.9000000000000002E-2</v>
      </c>
      <c r="N22" s="47">
        <f t="shared" si="31"/>
        <v>4.9000000000000002E-2</v>
      </c>
    </row>
    <row r="23" spans="1:15" x14ac:dyDescent="0.2">
      <c r="A23" s="45" t="s">
        <v>113</v>
      </c>
      <c r="B23" s="3">
        <f>[1]Historicals!B115</f>
        <v>8506</v>
      </c>
      <c r="C23" s="3">
        <f>[1]Historicals!C115</f>
        <v>9299</v>
      </c>
      <c r="D23" s="3">
        <f>[1]Historicals!D115</f>
        <v>9684</v>
      </c>
      <c r="E23" s="3">
        <f>[1]Historicals!E115</f>
        <v>9322</v>
      </c>
      <c r="F23" s="3">
        <f>[1]Historicals!F115</f>
        <v>10045</v>
      </c>
      <c r="G23" s="3">
        <f>[1]Historicals!G115</f>
        <v>9329</v>
      </c>
      <c r="H23" s="3">
        <f>[1]Historicals!H115</f>
        <v>11644</v>
      </c>
      <c r="I23" s="3">
        <f>[1]Historicals!I115</f>
        <v>12228</v>
      </c>
      <c r="J23" s="3">
        <f>+I23*(1+J24)</f>
        <v>12827.171999999999</v>
      </c>
      <c r="K23" s="3">
        <f t="shared" ref="K23:N23" si="32">+J23*(1+K24)</f>
        <v>13455.703427999997</v>
      </c>
      <c r="L23" s="3">
        <f t="shared" si="32"/>
        <v>14115.032895971995</v>
      </c>
      <c r="M23" s="3">
        <f t="shared" si="32"/>
        <v>14806.669507874622</v>
      </c>
      <c r="N23" s="3">
        <f t="shared" si="32"/>
        <v>15532.196313760476</v>
      </c>
    </row>
    <row r="24" spans="1:15" x14ac:dyDescent="0.2">
      <c r="A24" s="44" t="s">
        <v>129</v>
      </c>
      <c r="B24" s="47" t="str">
        <f t="shared" ref="B24:H24" si="33">+IFERROR(B23/A23-1,"nm")</f>
        <v>nm</v>
      </c>
      <c r="C24" s="47">
        <f t="shared" si="33"/>
        <v>9.3228309428638578E-2</v>
      </c>
      <c r="D24" s="47">
        <f t="shared" si="33"/>
        <v>4.1402301322722934E-2</v>
      </c>
      <c r="E24" s="47">
        <f t="shared" si="33"/>
        <v>-3.7381247418422192E-2</v>
      </c>
      <c r="F24" s="47">
        <f t="shared" si="33"/>
        <v>7.755846384895948E-2</v>
      </c>
      <c r="G24" s="47">
        <f t="shared" si="33"/>
        <v>-7.1279243404678949E-2</v>
      </c>
      <c r="H24" s="47">
        <f t="shared" si="33"/>
        <v>0.24815092721620746</v>
      </c>
      <c r="I24" s="47">
        <f>+IFERROR(I23/H23-1,"nm")</f>
        <v>5.0154586052902683E-2</v>
      </c>
      <c r="J24" s="47">
        <v>4.9000000000000002E-2</v>
      </c>
      <c r="K24" s="47">
        <v>4.9000000000000002E-2</v>
      </c>
      <c r="L24" s="47">
        <v>4.9000000000000002E-2</v>
      </c>
      <c r="M24" s="47">
        <v>4.9000000000000002E-2</v>
      </c>
      <c r="N24" s="47">
        <v>4.9000000000000002E-2</v>
      </c>
    </row>
    <row r="25" spans="1:15" x14ac:dyDescent="0.2">
      <c r="A25" s="44" t="s">
        <v>137</v>
      </c>
      <c r="B25" s="47">
        <f>[1]Historicals!B195</f>
        <v>0.14000000000000001</v>
      </c>
      <c r="C25" s="47">
        <f>[1]Historicals!C195</f>
        <v>0.1</v>
      </c>
      <c r="D25" s="47">
        <f>[1]Historicals!D195</f>
        <v>0.04</v>
      </c>
      <c r="E25" s="47">
        <f>[1]Historicals!E195</f>
        <v>-0.04</v>
      </c>
      <c r="F25" s="47">
        <f>[1]Historicals!F195</f>
        <v>0.08</v>
      </c>
      <c r="G25" s="47">
        <f>[1]Historicals!G195</f>
        <v>-7.0000000000000007E-2</v>
      </c>
      <c r="H25" s="47">
        <f>[1]Historicals!H195</f>
        <v>0.25</v>
      </c>
      <c r="I25" s="47">
        <f>[1]Historicals!I195</f>
        <v>0.05</v>
      </c>
      <c r="J25" s="49">
        <f>I25</f>
        <v>0.05</v>
      </c>
      <c r="K25" s="49">
        <f t="shared" ref="K25:N26" si="34">+J25</f>
        <v>0.05</v>
      </c>
      <c r="L25" s="49">
        <f t="shared" si="34"/>
        <v>0.05</v>
      </c>
      <c r="M25" s="49">
        <f t="shared" si="34"/>
        <v>0.05</v>
      </c>
      <c r="N25" s="49">
        <f t="shared" si="34"/>
        <v>0.05</v>
      </c>
    </row>
    <row r="26" spans="1:15" x14ac:dyDescent="0.2">
      <c r="A26" s="44" t="s">
        <v>138</v>
      </c>
      <c r="B26" s="47" t="str">
        <f t="shared" ref="B26:H26" si="35">+IFERROR(B24-B25,"nm")</f>
        <v>nm</v>
      </c>
      <c r="C26" s="47">
        <f t="shared" si="35"/>
        <v>-6.7716905713614273E-3</v>
      </c>
      <c r="D26" s="47">
        <f t="shared" si="35"/>
        <v>1.4023013227229333E-3</v>
      </c>
      <c r="E26" s="47">
        <f t="shared" si="35"/>
        <v>2.6187525815778087E-3</v>
      </c>
      <c r="F26" s="47">
        <f t="shared" si="35"/>
        <v>-2.4415361510405215E-3</v>
      </c>
      <c r="G26" s="47">
        <f t="shared" si="35"/>
        <v>-1.2792434046789425E-3</v>
      </c>
      <c r="H26" s="47">
        <f t="shared" si="35"/>
        <v>-1.849072783792538E-3</v>
      </c>
      <c r="I26" s="47">
        <f>+IFERROR(I24-I25,"nm")</f>
        <v>1.5458605290268046E-4</v>
      </c>
      <c r="J26" s="49">
        <f>I26</f>
        <v>1.5458605290268046E-4</v>
      </c>
      <c r="K26" s="49">
        <f t="shared" si="34"/>
        <v>1.5458605290268046E-4</v>
      </c>
      <c r="L26" s="49">
        <f t="shared" si="34"/>
        <v>1.5458605290268046E-4</v>
      </c>
      <c r="M26" s="49">
        <f t="shared" si="34"/>
        <v>1.5458605290268046E-4</v>
      </c>
      <c r="N26" s="49">
        <f t="shared" si="34"/>
        <v>1.5458605290268046E-4</v>
      </c>
    </row>
    <row r="27" spans="1:15" x14ac:dyDescent="0.2">
      <c r="A27" s="45" t="s">
        <v>114</v>
      </c>
      <c r="B27" s="9">
        <f>[1]Historicals!B116</f>
        <v>4410</v>
      </c>
      <c r="C27" s="9">
        <f>[1]Historicals!C116</f>
        <v>4746</v>
      </c>
      <c r="D27" s="9">
        <f>[1]Historicals!D116</f>
        <v>4866</v>
      </c>
      <c r="E27" s="9">
        <f>[1]Historicals!E116</f>
        <v>4938</v>
      </c>
      <c r="F27" s="9">
        <f>[1]Historicals!F116</f>
        <v>5260</v>
      </c>
      <c r="G27" s="9">
        <f>[1]Historicals!G116</f>
        <v>4639</v>
      </c>
      <c r="H27" s="9">
        <f>[1]Historicals!H116</f>
        <v>5028</v>
      </c>
      <c r="I27" s="9">
        <f>[1]Historicals!I116</f>
        <v>5492</v>
      </c>
      <c r="J27" s="3">
        <f>+I27*(1+J28)</f>
        <v>5761.1079999999993</v>
      </c>
      <c r="K27" s="3">
        <f t="shared" ref="K27:N27" si="36">+J27*(1+K28)</f>
        <v>6043.4022919999989</v>
      </c>
      <c r="L27" s="3">
        <f t="shared" si="36"/>
        <v>6339.5290043079985</v>
      </c>
      <c r="M27" s="3">
        <f t="shared" si="36"/>
        <v>6650.1659255190898</v>
      </c>
      <c r="N27" s="3">
        <f t="shared" si="36"/>
        <v>6976.024055869525</v>
      </c>
    </row>
    <row r="28" spans="1:15" x14ac:dyDescent="0.2">
      <c r="A28" s="44" t="s">
        <v>129</v>
      </c>
      <c r="B28" s="47" t="str">
        <f t="shared" ref="B28:H28" si="37">+IFERROR(B27/A27-1,"nm")</f>
        <v>nm</v>
      </c>
      <c r="C28" s="47">
        <f t="shared" si="37"/>
        <v>7.6190476190476142E-2</v>
      </c>
      <c r="D28" s="47">
        <f t="shared" si="37"/>
        <v>2.5284450063211228E-2</v>
      </c>
      <c r="E28" s="47">
        <f t="shared" si="37"/>
        <v>1.4796547472256449E-2</v>
      </c>
      <c r="F28" s="47">
        <f t="shared" si="37"/>
        <v>6.5208586472256025E-2</v>
      </c>
      <c r="G28" s="47">
        <f t="shared" si="37"/>
        <v>-0.11806083650190113</v>
      </c>
      <c r="H28" s="47">
        <f t="shared" si="37"/>
        <v>8.3854278939426541E-2</v>
      </c>
      <c r="I28" s="47">
        <f>+IFERROR(I27/H27-1,"nm")</f>
        <v>9.2283214001591007E-2</v>
      </c>
      <c r="J28" s="47">
        <v>4.9000000000000002E-2</v>
      </c>
      <c r="K28" s="47">
        <v>4.9000000000000002E-2</v>
      </c>
      <c r="L28" s="47">
        <v>4.9000000000000002E-2</v>
      </c>
      <c r="M28" s="47">
        <v>4.9000000000000002E-2</v>
      </c>
      <c r="N28" s="47">
        <v>4.9000000000000002E-2</v>
      </c>
    </row>
    <row r="29" spans="1:15" x14ac:dyDescent="0.2">
      <c r="A29" s="44" t="s">
        <v>137</v>
      </c>
      <c r="B29" s="47">
        <f>[1]Historicals!B196</f>
        <v>0.12</v>
      </c>
      <c r="C29" s="47">
        <f>[1]Historicals!C196</f>
        <v>0.08</v>
      </c>
      <c r="D29" s="47">
        <f>[1]Historicals!D196</f>
        <v>0.03</v>
      </c>
      <c r="E29" s="47">
        <f>[1]Historicals!E196</f>
        <v>0.01</v>
      </c>
      <c r="F29" s="47">
        <f>[1]Historicals!F196</f>
        <v>7.0000000000000007E-2</v>
      </c>
      <c r="G29" s="47">
        <f>[1]Historicals!G196</f>
        <v>-0.12</v>
      </c>
      <c r="H29" s="47">
        <f>[1]Historicals!H196</f>
        <v>0.08</v>
      </c>
      <c r="I29" s="47">
        <f>[1]Historicals!I196</f>
        <v>0.09</v>
      </c>
      <c r="J29" s="49">
        <f>I29</f>
        <v>0.09</v>
      </c>
      <c r="K29" s="49">
        <f t="shared" ref="K29:N30" si="38">+J29</f>
        <v>0.09</v>
      </c>
      <c r="L29" s="49">
        <f t="shared" si="38"/>
        <v>0.09</v>
      </c>
      <c r="M29" s="49">
        <f t="shared" si="38"/>
        <v>0.09</v>
      </c>
      <c r="N29" s="49">
        <f t="shared" si="38"/>
        <v>0.09</v>
      </c>
    </row>
    <row r="30" spans="1:15" x14ac:dyDescent="0.2">
      <c r="A30" s="44" t="s">
        <v>138</v>
      </c>
      <c r="B30" s="47" t="str">
        <f t="shared" ref="B30:H30" si="39">+IFERROR(B28-B29,"nm")</f>
        <v>nm</v>
      </c>
      <c r="C30" s="47">
        <f t="shared" si="39"/>
        <v>-3.8095238095238598E-3</v>
      </c>
      <c r="D30" s="47">
        <f t="shared" si="39"/>
        <v>-4.715549936788771E-3</v>
      </c>
      <c r="E30" s="47">
        <f t="shared" si="39"/>
        <v>4.7965474722564492E-3</v>
      </c>
      <c r="F30" s="47">
        <f t="shared" si="39"/>
        <v>-4.7914135277439818E-3</v>
      </c>
      <c r="G30" s="47">
        <f t="shared" si="39"/>
        <v>1.9391634980988615E-3</v>
      </c>
      <c r="H30" s="47">
        <f t="shared" si="39"/>
        <v>3.8542789394265392E-3</v>
      </c>
      <c r="I30" s="47">
        <f>+IFERROR(I28-I29,"nm")</f>
        <v>2.2832140015910107E-3</v>
      </c>
      <c r="J30" s="49">
        <f>I30</f>
        <v>2.2832140015910107E-3</v>
      </c>
      <c r="K30" s="49">
        <f t="shared" si="38"/>
        <v>2.2832140015910107E-3</v>
      </c>
      <c r="L30" s="49">
        <f t="shared" si="38"/>
        <v>2.2832140015910107E-3</v>
      </c>
      <c r="M30" s="49">
        <f t="shared" si="38"/>
        <v>2.2832140015910107E-3</v>
      </c>
      <c r="N30" s="49">
        <f t="shared" si="38"/>
        <v>2.2832140015910107E-3</v>
      </c>
    </row>
    <row r="31" spans="1:15" x14ac:dyDescent="0.2">
      <c r="A31" s="45" t="s">
        <v>115</v>
      </c>
      <c r="B31" s="9">
        <f>[1]Historicals!B117</f>
        <v>824</v>
      </c>
      <c r="C31" s="9">
        <f>[1]Historicals!C117</f>
        <v>719</v>
      </c>
      <c r="D31" s="9">
        <f>[1]Historicals!D117</f>
        <v>646</v>
      </c>
      <c r="E31" s="9">
        <f>[1]Historicals!E117</f>
        <v>595</v>
      </c>
      <c r="F31" s="9">
        <f>[1]Historicals!F117</f>
        <v>597</v>
      </c>
      <c r="G31" s="9">
        <f>[1]Historicals!G117</f>
        <v>516</v>
      </c>
      <c r="H31" s="9">
        <f>[1]Historicals!H117</f>
        <v>507</v>
      </c>
      <c r="I31" s="9">
        <f>[1]Historicals!I117</f>
        <v>633</v>
      </c>
      <c r="J31" s="3">
        <f>+I31*(1+J32)</f>
        <v>664.01699999999994</v>
      </c>
      <c r="K31" s="3">
        <f t="shared" ref="K31:N31" si="40">+J31*(1+K32)</f>
        <v>696.55383299999994</v>
      </c>
      <c r="L31" s="3">
        <f t="shared" si="40"/>
        <v>730.68497081699991</v>
      </c>
      <c r="M31" s="3">
        <f t="shared" si="40"/>
        <v>766.48853438703281</v>
      </c>
      <c r="N31" s="3">
        <f t="shared" si="40"/>
        <v>804.04647257199736</v>
      </c>
    </row>
    <row r="32" spans="1:15" x14ac:dyDescent="0.2">
      <c r="A32" s="44" t="s">
        <v>129</v>
      </c>
      <c r="B32" s="47" t="str">
        <f t="shared" ref="B32:H32" si="41">+IFERROR(B31/A31-1,"nm")</f>
        <v>nm</v>
      </c>
      <c r="C32" s="47">
        <f t="shared" si="41"/>
        <v>-0.12742718446601942</v>
      </c>
      <c r="D32" s="47">
        <f t="shared" si="41"/>
        <v>-0.10152990264255912</v>
      </c>
      <c r="E32" s="47">
        <f t="shared" si="41"/>
        <v>-7.8947368421052655E-2</v>
      </c>
      <c r="F32" s="47">
        <f t="shared" si="41"/>
        <v>3.3613445378151141E-3</v>
      </c>
      <c r="G32" s="47">
        <f t="shared" si="41"/>
        <v>-0.13567839195979903</v>
      </c>
      <c r="H32" s="47">
        <f t="shared" si="41"/>
        <v>-1.744186046511631E-2</v>
      </c>
      <c r="I32" s="47">
        <f>+IFERROR(I31/H31-1,"nm")</f>
        <v>0.24852071005917153</v>
      </c>
      <c r="J32" s="47">
        <v>4.9000000000000002E-2</v>
      </c>
      <c r="K32" s="47">
        <v>4.9000000000000002E-2</v>
      </c>
      <c r="L32" s="47">
        <v>4.9000000000000002E-2</v>
      </c>
      <c r="M32" s="47">
        <v>4.9000000000000002E-2</v>
      </c>
      <c r="N32" s="47">
        <v>4.9000000000000002E-2</v>
      </c>
    </row>
    <row r="33" spans="1:14" x14ac:dyDescent="0.2">
      <c r="A33" s="44" t="s">
        <v>137</v>
      </c>
      <c r="B33" s="47">
        <f>[1]Historicals!B197</f>
        <v>-0.05</v>
      </c>
      <c r="C33" s="47">
        <f>[1]Historicals!C197</f>
        <v>-0.13</v>
      </c>
      <c r="D33" s="47">
        <f>[1]Historicals!D197</f>
        <v>-0.1</v>
      </c>
      <c r="E33" s="47">
        <f>[1]Historicals!E197</f>
        <v>-0.08</v>
      </c>
      <c r="F33" s="47">
        <f>[1]Historicals!F197</f>
        <v>0</v>
      </c>
      <c r="G33" s="47">
        <f>[1]Historicals!G197</f>
        <v>-0.14000000000000001</v>
      </c>
      <c r="H33" s="47">
        <f>[1]Historicals!H197</f>
        <v>-0.02</v>
      </c>
      <c r="I33" s="47">
        <f>[1]Historicals!I197</f>
        <v>0.25</v>
      </c>
      <c r="J33" s="49">
        <f>+I33</f>
        <v>0.25</v>
      </c>
      <c r="K33" s="49">
        <f t="shared" ref="K33:N34" si="42">+J33</f>
        <v>0.25</v>
      </c>
      <c r="L33" s="49">
        <f t="shared" si="42"/>
        <v>0.25</v>
      </c>
      <c r="M33" s="49">
        <f t="shared" si="42"/>
        <v>0.25</v>
      </c>
      <c r="N33" s="49">
        <f t="shared" si="42"/>
        <v>0.25</v>
      </c>
    </row>
    <row r="34" spans="1:14" x14ac:dyDescent="0.2">
      <c r="A34" s="44" t="s">
        <v>138</v>
      </c>
      <c r="B34" s="47" t="str">
        <f t="shared" ref="B34:H34" si="43">+IFERROR(B32-B33,"nm")</f>
        <v>nm</v>
      </c>
      <c r="C34" s="47">
        <f t="shared" si="43"/>
        <v>2.572815533980588E-3</v>
      </c>
      <c r="D34" s="47">
        <f t="shared" si="43"/>
        <v>-1.5299026425591167E-3</v>
      </c>
      <c r="E34" s="47">
        <f t="shared" si="43"/>
        <v>1.0526315789473467E-3</v>
      </c>
      <c r="F34" s="47">
        <f t="shared" si="43"/>
        <v>3.3613445378151141E-3</v>
      </c>
      <c r="G34" s="47">
        <f t="shared" si="43"/>
        <v>4.321608040200986E-3</v>
      </c>
      <c r="H34" s="47">
        <f t="shared" si="43"/>
        <v>2.5581395348836904E-3</v>
      </c>
      <c r="I34" s="47">
        <f>+IFERROR(I32-I33,"nm")</f>
        <v>-1.4792899408284654E-3</v>
      </c>
      <c r="J34" s="49">
        <f>I34</f>
        <v>-1.4792899408284654E-3</v>
      </c>
      <c r="K34" s="49">
        <f t="shared" si="42"/>
        <v>-1.4792899408284654E-3</v>
      </c>
      <c r="L34" s="49">
        <f t="shared" si="42"/>
        <v>-1.4792899408284654E-3</v>
      </c>
      <c r="M34" s="49">
        <f t="shared" si="42"/>
        <v>-1.4792899408284654E-3</v>
      </c>
      <c r="N34" s="49">
        <f t="shared" si="42"/>
        <v>-1.4792899408284654E-3</v>
      </c>
    </row>
    <row r="35" spans="1:14" x14ac:dyDescent="0.2">
      <c r="A35" s="9" t="s">
        <v>130</v>
      </c>
      <c r="B35" s="48">
        <f t="shared" ref="B35:H35" si="44">+B42+B38</f>
        <v>3766</v>
      </c>
      <c r="C35" s="48">
        <f t="shared" si="44"/>
        <v>3896</v>
      </c>
      <c r="D35" s="48">
        <f t="shared" si="44"/>
        <v>4015</v>
      </c>
      <c r="E35" s="48">
        <f t="shared" si="44"/>
        <v>3760</v>
      </c>
      <c r="F35" s="48">
        <f t="shared" si="44"/>
        <v>4074</v>
      </c>
      <c r="G35" s="48">
        <f t="shared" si="44"/>
        <v>3047</v>
      </c>
      <c r="H35" s="48">
        <f t="shared" si="44"/>
        <v>5219</v>
      </c>
      <c r="I35" s="48">
        <f>+I42+I38</f>
        <v>5238</v>
      </c>
      <c r="J35" s="48">
        <f>+J21*J37</f>
        <v>5494.6619999999994</v>
      </c>
      <c r="K35" s="48">
        <f t="shared" ref="K35:N35" si="45">+K21*K37</f>
        <v>5763.9004379999988</v>
      </c>
      <c r="L35" s="48">
        <f t="shared" si="45"/>
        <v>6046.331559461998</v>
      </c>
      <c r="M35" s="48">
        <f t="shared" si="45"/>
        <v>6342.6018058756354</v>
      </c>
      <c r="N35" s="48">
        <f t="shared" si="45"/>
        <v>6653.3892943635419</v>
      </c>
    </row>
    <row r="36" spans="1:14" x14ac:dyDescent="0.2">
      <c r="A36" s="46" t="s">
        <v>129</v>
      </c>
      <c r="B36" s="47" t="str">
        <f t="shared" ref="B36:H36" si="46">+IFERROR(B35/A35-1,"nm")</f>
        <v>nm</v>
      </c>
      <c r="C36" s="47">
        <f t="shared" si="46"/>
        <v>3.4519383961763239E-2</v>
      </c>
      <c r="D36" s="47">
        <f t="shared" si="46"/>
        <v>3.0544147843942548E-2</v>
      </c>
      <c r="E36" s="47">
        <f t="shared" si="46"/>
        <v>-6.3511830635118338E-2</v>
      </c>
      <c r="F36" s="47">
        <f t="shared" si="46"/>
        <v>8.3510638297872308E-2</v>
      </c>
      <c r="G36" s="47">
        <f t="shared" si="46"/>
        <v>-0.25208640157093765</v>
      </c>
      <c r="H36" s="47">
        <f t="shared" si="46"/>
        <v>0.71283229405973092</v>
      </c>
      <c r="I36" s="47">
        <f>+IFERROR(I35/H35-1,"nm")</f>
        <v>3.6405441655489312E-3</v>
      </c>
      <c r="J36" s="47">
        <f t="shared" ref="J36:N36" si="47">+IFERROR(J35/I35-1,"nm")</f>
        <v>4.8999999999999932E-2</v>
      </c>
      <c r="K36" s="47">
        <f t="shared" si="47"/>
        <v>4.8999999999999932E-2</v>
      </c>
      <c r="L36" s="47">
        <f t="shared" si="47"/>
        <v>4.8999999999999932E-2</v>
      </c>
      <c r="M36" s="47">
        <f t="shared" si="47"/>
        <v>4.8999999999999932E-2</v>
      </c>
      <c r="N36" s="47">
        <f t="shared" si="47"/>
        <v>4.9000000000000155E-2</v>
      </c>
    </row>
    <row r="37" spans="1:14" x14ac:dyDescent="0.2">
      <c r="A37" s="46" t="s">
        <v>131</v>
      </c>
      <c r="B37" s="47">
        <f t="shared" ref="B37:H37" si="48">+IFERROR(B35/B$21,"nm")</f>
        <v>0.27409024745269289</v>
      </c>
      <c r="C37" s="47">
        <f t="shared" si="48"/>
        <v>0.26388512598211866</v>
      </c>
      <c r="D37" s="47">
        <f t="shared" si="48"/>
        <v>0.26386698212407994</v>
      </c>
      <c r="E37" s="47">
        <f t="shared" si="48"/>
        <v>0.25311342982160889</v>
      </c>
      <c r="F37" s="47">
        <f t="shared" si="48"/>
        <v>0.25619418941013711</v>
      </c>
      <c r="G37" s="47">
        <f t="shared" si="48"/>
        <v>0.2103700635183651</v>
      </c>
      <c r="H37" s="47">
        <f t="shared" si="48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9">+J37</f>
        <v>0.28540293140086087</v>
      </c>
      <c r="L37" s="49">
        <f t="shared" si="49"/>
        <v>0.28540293140086087</v>
      </c>
      <c r="M37" s="49">
        <f t="shared" si="49"/>
        <v>0.28540293140086087</v>
      </c>
      <c r="N37" s="49">
        <f t="shared" si="49"/>
        <v>0.28540293140086087</v>
      </c>
    </row>
    <row r="38" spans="1:14" x14ac:dyDescent="0.2">
      <c r="A38" s="9" t="s">
        <v>132</v>
      </c>
      <c r="B38" s="9">
        <f>[1]Historicals!B181</f>
        <v>121</v>
      </c>
      <c r="C38" s="9">
        <f>[1]Historicals!C181</f>
        <v>133</v>
      </c>
      <c r="D38" s="9">
        <f>[1]Historicals!D181</f>
        <v>140</v>
      </c>
      <c r="E38" s="9">
        <f>[1]Historicals!E181</f>
        <v>160</v>
      </c>
      <c r="F38" s="9">
        <f>[1]Historicals!F181</f>
        <v>149</v>
      </c>
      <c r="G38" s="9">
        <f>[1]Historicals!G181</f>
        <v>148</v>
      </c>
      <c r="H38" s="9">
        <f>[1]Historicals!H181</f>
        <v>130</v>
      </c>
      <c r="I38" s="9">
        <f>[1]Historicals!I181</f>
        <v>124</v>
      </c>
      <c r="J38" s="48">
        <f>+J41*J48</f>
        <v>130.07599999999999</v>
      </c>
      <c r="K38" s="48">
        <f t="shared" ref="K38:N38" si="50">+K41*K48</f>
        <v>136.449724</v>
      </c>
      <c r="L38" s="48">
        <f t="shared" si="50"/>
        <v>143.13576047599997</v>
      </c>
      <c r="M38" s="48">
        <f t="shared" si="50"/>
        <v>150.14941273932396</v>
      </c>
      <c r="N38" s="48">
        <f t="shared" si="50"/>
        <v>157.50673396355083</v>
      </c>
    </row>
    <row r="39" spans="1:14" x14ac:dyDescent="0.2">
      <c r="A39" s="46" t="s">
        <v>129</v>
      </c>
      <c r="B39" s="47" t="str">
        <f t="shared" ref="B39:H39" si="51">+IFERROR(B38/A38-1,"nm")</f>
        <v>nm</v>
      </c>
      <c r="C39" s="47">
        <f t="shared" si="51"/>
        <v>9.9173553719008156E-2</v>
      </c>
      <c r="D39" s="47">
        <f t="shared" si="51"/>
        <v>5.2631578947368363E-2</v>
      </c>
      <c r="E39" s="47">
        <f t="shared" si="51"/>
        <v>0.14285714285714279</v>
      </c>
      <c r="F39" s="47">
        <f t="shared" si="51"/>
        <v>-6.8749999999999978E-2</v>
      </c>
      <c r="G39" s="47">
        <f t="shared" si="51"/>
        <v>-6.7114093959731447E-3</v>
      </c>
      <c r="H39" s="47">
        <f t="shared" si="51"/>
        <v>-0.1216216216216216</v>
      </c>
      <c r="I39" s="47">
        <f>+IFERROR(I38/H38-1,"nm")</f>
        <v>-4.6153846153846101E-2</v>
      </c>
      <c r="J39" s="47">
        <f t="shared" ref="J39:N39" si="52">+IFERROR(J38/I38-1,"nm")</f>
        <v>4.8999999999999932E-2</v>
      </c>
      <c r="K39" s="47">
        <f t="shared" si="52"/>
        <v>4.9000000000000155E-2</v>
      </c>
      <c r="L39" s="47">
        <f t="shared" si="52"/>
        <v>4.899999999999971E-2</v>
      </c>
      <c r="M39" s="47">
        <f t="shared" si="52"/>
        <v>4.8999999999999932E-2</v>
      </c>
      <c r="N39" s="47">
        <f t="shared" si="52"/>
        <v>4.8999999999999932E-2</v>
      </c>
    </row>
    <row r="40" spans="1:14" x14ac:dyDescent="0.2">
      <c r="A40" s="46" t="s">
        <v>133</v>
      </c>
      <c r="B40" s="47">
        <f t="shared" ref="B40:H40" si="53">+IFERROR(B38/B$21,"nm")</f>
        <v>8.8064046579330417E-3</v>
      </c>
      <c r="C40" s="47">
        <f t="shared" si="53"/>
        <v>9.0083988079111346E-3</v>
      </c>
      <c r="D40" s="47">
        <f t="shared" si="53"/>
        <v>9.2008412197686646E-3</v>
      </c>
      <c r="E40" s="47">
        <f t="shared" si="53"/>
        <v>1.0770784247728038E-2</v>
      </c>
      <c r="F40" s="47">
        <f t="shared" si="53"/>
        <v>9.3698905798012821E-3</v>
      </c>
      <c r="G40" s="47">
        <f t="shared" si="53"/>
        <v>1.0218171775752554E-2</v>
      </c>
      <c r="H40" s="47">
        <f t="shared" si="53"/>
        <v>7.5673787764130628E-3</v>
      </c>
      <c r="I40" s="47">
        <f>+IFERROR(I38/I$21,"nm")</f>
        <v>6.7563886013185855E-3</v>
      </c>
      <c r="J40" s="47">
        <f>+IFERROR(J38/J$21,"nm")</f>
        <v>6.7563886013185855E-3</v>
      </c>
      <c r="K40" s="47">
        <f t="shared" ref="K40:N40" si="54">+IFERROR(K38/K$21,"nm")</f>
        <v>6.7563886013185864E-3</v>
      </c>
      <c r="L40" s="47">
        <f t="shared" si="54"/>
        <v>6.7563886013185855E-3</v>
      </c>
      <c r="M40" s="47">
        <f t="shared" si="54"/>
        <v>6.7563886013185855E-3</v>
      </c>
      <c r="N40" s="47">
        <f t="shared" si="54"/>
        <v>6.7563886013185855E-3</v>
      </c>
    </row>
    <row r="41" spans="1:14" x14ac:dyDescent="0.2">
      <c r="A41" s="46" t="s">
        <v>140</v>
      </c>
      <c r="B41" s="47">
        <f t="shared" ref="B41:H41" si="55">+IFERROR(B38/B48,"nm")</f>
        <v>0.19145569620253164</v>
      </c>
      <c r="C41" s="47">
        <f t="shared" si="55"/>
        <v>0.17924528301886791</v>
      </c>
      <c r="D41" s="47">
        <f t="shared" si="55"/>
        <v>0.17094017094017094</v>
      </c>
      <c r="E41" s="47">
        <f t="shared" si="55"/>
        <v>0.18867924528301888</v>
      </c>
      <c r="F41" s="47">
        <f t="shared" si="55"/>
        <v>0.18304668304668303</v>
      </c>
      <c r="G41" s="47">
        <f t="shared" si="55"/>
        <v>0.22945736434108527</v>
      </c>
      <c r="H41" s="47">
        <f t="shared" si="55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6">+J41</f>
        <v>0.19405320813771518</v>
      </c>
      <c r="L41" s="49">
        <f t="shared" si="56"/>
        <v>0.19405320813771518</v>
      </c>
      <c r="M41" s="49">
        <f t="shared" si="56"/>
        <v>0.19405320813771518</v>
      </c>
      <c r="N41" s="49">
        <f t="shared" si="56"/>
        <v>0.19405320813771518</v>
      </c>
    </row>
    <row r="42" spans="1:14" x14ac:dyDescent="0.2">
      <c r="A42" s="9" t="s">
        <v>134</v>
      </c>
      <c r="B42" s="9">
        <f>[1]Historicals!B145</f>
        <v>3645</v>
      </c>
      <c r="C42" s="9">
        <f>[1]Historicals!C145</f>
        <v>3763</v>
      </c>
      <c r="D42" s="9">
        <f>[1]Historicals!D145</f>
        <v>3875</v>
      </c>
      <c r="E42" s="9">
        <f>[1]Historicals!E145</f>
        <v>3600</v>
      </c>
      <c r="F42" s="9">
        <f>[1]Historicals!F145</f>
        <v>3925</v>
      </c>
      <c r="G42" s="9">
        <f>[1]Historicals!G145</f>
        <v>2899</v>
      </c>
      <c r="H42" s="9">
        <f>[1]Historicals!H145</f>
        <v>5089</v>
      </c>
      <c r="I42" s="9">
        <f>[1]Historicals!I145</f>
        <v>5114</v>
      </c>
      <c r="J42" s="9">
        <f>+J35-J38</f>
        <v>5364.5859999999993</v>
      </c>
      <c r="K42" s="9">
        <f t="shared" ref="K42:N42" si="57">+K35-K38</f>
        <v>5627.4507139999987</v>
      </c>
      <c r="L42" s="9">
        <f t="shared" si="57"/>
        <v>5903.1957989859984</v>
      </c>
      <c r="M42" s="9">
        <f t="shared" si="57"/>
        <v>6192.452393136311</v>
      </c>
      <c r="N42" s="9">
        <f t="shared" si="57"/>
        <v>6495.8825603999912</v>
      </c>
    </row>
    <row r="43" spans="1:14" x14ac:dyDescent="0.2">
      <c r="A43" s="46" t="s">
        <v>129</v>
      </c>
      <c r="B43" s="47" t="str">
        <f t="shared" ref="B43:H43" si="58">+IFERROR(B42/A42-1,"nm")</f>
        <v>nm</v>
      </c>
      <c r="C43" s="47">
        <f t="shared" si="58"/>
        <v>3.2373113854595292E-2</v>
      </c>
      <c r="D43" s="47">
        <f t="shared" si="58"/>
        <v>2.9763486579856391E-2</v>
      </c>
      <c r="E43" s="47">
        <f t="shared" si="58"/>
        <v>-7.096774193548383E-2</v>
      </c>
      <c r="F43" s="47">
        <f t="shared" si="58"/>
        <v>9.0277777777777679E-2</v>
      </c>
      <c r="G43" s="47">
        <f t="shared" si="58"/>
        <v>-0.26140127388535028</v>
      </c>
      <c r="H43" s="47">
        <f t="shared" si="58"/>
        <v>0.75543290789927564</v>
      </c>
      <c r="I43" s="47">
        <f>+IFERROR(I42/H42-1,"nm")</f>
        <v>4.9125564943997002E-3</v>
      </c>
      <c r="J43" s="47">
        <f t="shared" ref="J43:N43" si="59">+IFERROR(J42/I42-1,"nm")</f>
        <v>4.8999999999999932E-2</v>
      </c>
      <c r="K43" s="47">
        <f t="shared" si="59"/>
        <v>4.8999999999999932E-2</v>
      </c>
      <c r="L43" s="47">
        <f t="shared" si="59"/>
        <v>4.8999999999999932E-2</v>
      </c>
      <c r="M43" s="47">
        <f t="shared" si="59"/>
        <v>4.899999999999971E-2</v>
      </c>
      <c r="N43" s="47">
        <f t="shared" si="59"/>
        <v>4.9000000000000155E-2</v>
      </c>
    </row>
    <row r="44" spans="1:14" x14ac:dyDescent="0.2">
      <c r="A44" s="46" t="s">
        <v>131</v>
      </c>
      <c r="B44" s="47">
        <f t="shared" ref="B44:H44" si="60">+IFERROR(B42/B$21,"nm")</f>
        <v>0.26528384279475981</v>
      </c>
      <c r="C44" s="47">
        <f t="shared" si="60"/>
        <v>0.25487672717420751</v>
      </c>
      <c r="D44" s="47">
        <f t="shared" si="60"/>
        <v>0.25466614090431128</v>
      </c>
      <c r="E44" s="47">
        <f t="shared" si="60"/>
        <v>0.24234264557388085</v>
      </c>
      <c r="F44" s="47">
        <f t="shared" si="60"/>
        <v>0.2468242988303358</v>
      </c>
      <c r="G44" s="47">
        <f t="shared" si="60"/>
        <v>0.20015189174261253</v>
      </c>
      <c r="H44" s="47">
        <f t="shared" si="60"/>
        <v>0.29623377379358518</v>
      </c>
      <c r="I44" s="47">
        <f>+IFERROR(I42/I$21,"nm")</f>
        <v>0.27864654279954232</v>
      </c>
      <c r="J44" s="47">
        <f t="shared" ref="J44:N44" si="61">+IFERROR(J42/J$21,"nm")</f>
        <v>0.27864654279954232</v>
      </c>
      <c r="K44" s="47">
        <f t="shared" si="61"/>
        <v>0.27864654279954226</v>
      </c>
      <c r="L44" s="47">
        <f t="shared" si="61"/>
        <v>0.27864654279954232</v>
      </c>
      <c r="M44" s="47">
        <f t="shared" si="61"/>
        <v>0.27864654279954226</v>
      </c>
      <c r="N44" s="47">
        <f t="shared" si="61"/>
        <v>0.27864654279954232</v>
      </c>
    </row>
    <row r="45" spans="1:14" x14ac:dyDescent="0.2">
      <c r="A45" s="9" t="s">
        <v>135</v>
      </c>
      <c r="B45" s="9">
        <f>[1]Historicals!B169</f>
        <v>208</v>
      </c>
      <c r="C45" s="9">
        <f>[1]Historicals!C169</f>
        <v>242</v>
      </c>
      <c r="D45" s="9">
        <f>[1]Historicals!D169</f>
        <v>223</v>
      </c>
      <c r="E45" s="9">
        <f>[1]Historicals!E169</f>
        <v>196</v>
      </c>
      <c r="F45" s="9">
        <f>[1]Historicals!F169</f>
        <v>117</v>
      </c>
      <c r="G45" s="9">
        <f>[1]Historicals!G169</f>
        <v>110</v>
      </c>
      <c r="H45" s="9">
        <f>[1]Historicals!H169</f>
        <v>98</v>
      </c>
      <c r="I45" s="9">
        <f>[1]Historicals!I169</f>
        <v>146</v>
      </c>
      <c r="J45" s="48">
        <f>+J21*J47</f>
        <v>153.154</v>
      </c>
      <c r="K45" s="48">
        <f t="shared" ref="K45:N45" si="62">+K21*K47</f>
        <v>160.658546</v>
      </c>
      <c r="L45" s="48">
        <f t="shared" si="62"/>
        <v>168.53081475399998</v>
      </c>
      <c r="M45" s="48">
        <f t="shared" si="62"/>
        <v>176.78882467694598</v>
      </c>
      <c r="N45" s="48">
        <f t="shared" si="62"/>
        <v>185.45147708611631</v>
      </c>
    </row>
    <row r="46" spans="1:14" x14ac:dyDescent="0.2">
      <c r="A46" s="46" t="s">
        <v>129</v>
      </c>
      <c r="B46" s="47" t="str">
        <f t="shared" ref="B46:H46" si="63">+IFERROR(B45/A45-1,"nm")</f>
        <v>nm</v>
      </c>
      <c r="C46" s="47">
        <f t="shared" si="63"/>
        <v>0.16346153846153855</v>
      </c>
      <c r="D46" s="47">
        <f t="shared" si="63"/>
        <v>-7.8512396694214837E-2</v>
      </c>
      <c r="E46" s="47">
        <f t="shared" si="63"/>
        <v>-0.12107623318385652</v>
      </c>
      <c r="F46" s="47">
        <f t="shared" si="63"/>
        <v>-0.40306122448979587</v>
      </c>
      <c r="G46" s="47">
        <f t="shared" si="63"/>
        <v>-5.9829059829059839E-2</v>
      </c>
      <c r="H46" s="47">
        <f t="shared" si="63"/>
        <v>-0.10909090909090913</v>
      </c>
      <c r="I46" s="47">
        <f>+IFERROR(I45/H45-1,"nm")</f>
        <v>0.48979591836734704</v>
      </c>
      <c r="J46" s="47">
        <f t="shared" ref="J46:N46" si="64">+IFERROR(J45/I45-1,"nm")</f>
        <v>4.8999999999999932E-2</v>
      </c>
      <c r="K46" s="47">
        <f t="shared" si="64"/>
        <v>4.8999999999999932E-2</v>
      </c>
      <c r="L46" s="47">
        <f t="shared" si="64"/>
        <v>4.8999999999999932E-2</v>
      </c>
      <c r="M46" s="47">
        <f t="shared" si="64"/>
        <v>4.8999999999999932E-2</v>
      </c>
      <c r="N46" s="47">
        <f t="shared" si="64"/>
        <v>4.8999999999999932E-2</v>
      </c>
    </row>
    <row r="47" spans="1:14" x14ac:dyDescent="0.2">
      <c r="A47" s="46" t="s">
        <v>133</v>
      </c>
      <c r="B47" s="47">
        <f t="shared" ref="B47:H47" si="65">+IFERROR(B45/B$21,"nm")</f>
        <v>1.5138282387190683E-2</v>
      </c>
      <c r="C47" s="47">
        <f t="shared" si="65"/>
        <v>1.6391221891086428E-2</v>
      </c>
      <c r="D47" s="47">
        <f t="shared" si="65"/>
        <v>1.4655625657202945E-2</v>
      </c>
      <c r="E47" s="47">
        <f t="shared" si="65"/>
        <v>1.3194210703466847E-2</v>
      </c>
      <c r="F47" s="47">
        <f t="shared" si="65"/>
        <v>7.3575650861526856E-3</v>
      </c>
      <c r="G47" s="47">
        <f t="shared" si="65"/>
        <v>7.5945871306268989E-3</v>
      </c>
      <c r="H47" s="47">
        <f t="shared" si="6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6">+J47</f>
        <v>7.9551027080041418E-3</v>
      </c>
      <c r="L47" s="49">
        <f t="shared" si="66"/>
        <v>7.9551027080041418E-3</v>
      </c>
      <c r="M47" s="49">
        <f t="shared" si="66"/>
        <v>7.9551027080041418E-3</v>
      </c>
      <c r="N47" s="49">
        <f t="shared" si="66"/>
        <v>7.9551027080041418E-3</v>
      </c>
    </row>
    <row r="48" spans="1:14" x14ac:dyDescent="0.2">
      <c r="A48" s="9" t="s">
        <v>141</v>
      </c>
      <c r="B48" s="9">
        <f>[1]Historicals!B157</f>
        <v>632</v>
      </c>
      <c r="C48" s="9">
        <f>[1]Historicals!C157</f>
        <v>742</v>
      </c>
      <c r="D48" s="9">
        <f>[1]Historicals!D157</f>
        <v>819</v>
      </c>
      <c r="E48" s="9">
        <f>[1]Historicals!E157</f>
        <v>848</v>
      </c>
      <c r="F48" s="9">
        <f>[1]Historicals!F157</f>
        <v>814</v>
      </c>
      <c r="G48" s="9">
        <f>[1]Historicals!G157</f>
        <v>645</v>
      </c>
      <c r="H48" s="9">
        <f>[1]Historicals!H157</f>
        <v>617</v>
      </c>
      <c r="I48" s="9">
        <f>[1]Historicals!I157</f>
        <v>639</v>
      </c>
      <c r="J48" s="9">
        <f>+J21*J50</f>
        <v>670.31100000000004</v>
      </c>
      <c r="K48" s="9">
        <f t="shared" ref="K48:N48" si="67">+K21*K50</f>
        <v>703.15623900000003</v>
      </c>
      <c r="L48" s="9">
        <f t="shared" si="67"/>
        <v>737.6108947109999</v>
      </c>
      <c r="M48" s="9">
        <f t="shared" si="67"/>
        <v>773.75382855183886</v>
      </c>
      <c r="N48" s="9">
        <f t="shared" si="67"/>
        <v>811.66776615087895</v>
      </c>
    </row>
    <row r="49" spans="1:14" x14ac:dyDescent="0.2">
      <c r="A49" s="46" t="s">
        <v>129</v>
      </c>
      <c r="B49" s="47" t="str">
        <f t="shared" ref="B49:H49" si="68">+IFERROR(B48/A48-1,"nm")</f>
        <v>nm</v>
      </c>
      <c r="C49" s="47">
        <f t="shared" si="68"/>
        <v>0.17405063291139244</v>
      </c>
      <c r="D49" s="47">
        <f t="shared" si="68"/>
        <v>0.10377358490566047</v>
      </c>
      <c r="E49" s="47">
        <f t="shared" si="68"/>
        <v>3.5409035409035505E-2</v>
      </c>
      <c r="F49" s="47">
        <f t="shared" si="68"/>
        <v>-4.0094339622641528E-2</v>
      </c>
      <c r="G49" s="47">
        <f t="shared" si="68"/>
        <v>-0.20761670761670759</v>
      </c>
      <c r="H49" s="47">
        <f t="shared" si="68"/>
        <v>-4.3410852713178349E-2</v>
      </c>
      <c r="I49" s="47">
        <f>+IFERROR(I48/H48-1,"nm")</f>
        <v>3.5656401944894611E-2</v>
      </c>
      <c r="J49" s="47">
        <f>+IFERROR(J48/I48-1,"nm")</f>
        <v>4.9000000000000155E-2</v>
      </c>
      <c r="K49" s="47">
        <f t="shared" ref="K49:N49" si="69">+IFERROR(J48/I48-1,"nm")</f>
        <v>4.9000000000000155E-2</v>
      </c>
      <c r="L49" s="47">
        <f t="shared" si="69"/>
        <v>4.8999999999999932E-2</v>
      </c>
      <c r="M49" s="47">
        <f t="shared" si="69"/>
        <v>4.899999999999971E-2</v>
      </c>
      <c r="N49" s="47">
        <f t="shared" si="69"/>
        <v>4.8999999999999932E-2</v>
      </c>
    </row>
    <row r="50" spans="1:14" x14ac:dyDescent="0.2">
      <c r="A50" s="46" t="s">
        <v>133</v>
      </c>
      <c r="B50" s="47">
        <f t="shared" ref="B50:H50" si="70">+IFERROR(B48/B$21,"nm")</f>
        <v>4.599708879184862E-2</v>
      </c>
      <c r="C50" s="47">
        <f t="shared" si="70"/>
        <v>5.0257382823083174E-2</v>
      </c>
      <c r="D50" s="47">
        <f t="shared" si="70"/>
        <v>5.3824921135646686E-2</v>
      </c>
      <c r="E50" s="47">
        <f t="shared" si="70"/>
        <v>5.7085156512958597E-2</v>
      </c>
      <c r="F50" s="47">
        <f t="shared" si="70"/>
        <v>5.1188529744686205E-2</v>
      </c>
      <c r="G50" s="47">
        <f t="shared" si="70"/>
        <v>4.4531897265948632E-2</v>
      </c>
      <c r="H50" s="47">
        <f t="shared" si="70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1">+J50</f>
        <v>3.4817196098730456E-2</v>
      </c>
      <c r="L50" s="49">
        <f t="shared" si="71"/>
        <v>3.4817196098730456E-2</v>
      </c>
      <c r="M50" s="49">
        <f t="shared" si="71"/>
        <v>3.4817196098730456E-2</v>
      </c>
      <c r="N50" s="49">
        <f t="shared" si="71"/>
        <v>3.4817196098730456E-2</v>
      </c>
    </row>
    <row r="51" spans="1:14" x14ac:dyDescent="0.2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workbookViewId="0">
      <selection activeCell="D14" sqref="D14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39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48998.789999999994</v>
      </c>
      <c r="K3" s="9">
        <f>'Segmental forecast'!K3</f>
        <v>51399.730709999989</v>
      </c>
      <c r="L3" s="9">
        <f>'Segmental forecast'!L3</f>
        <v>53918.317514789982</v>
      </c>
      <c r="M3" s="9">
        <f>'Segmental forecast'!M3</f>
        <v>56560.315073014688</v>
      </c>
      <c r="N3" s="9">
        <f>'Segmental forecast'!N3</f>
        <v>59331.770511592404</v>
      </c>
      <c r="O3" t="s">
        <v>196</v>
      </c>
    </row>
    <row r="4" spans="1:15" x14ac:dyDescent="0.2">
      <c r="A4" s="42" t="s">
        <v>129</v>
      </c>
      <c r="B4" s="54" t="str">
        <f>'Segmental forecast'!B4</f>
        <v>nm</v>
      </c>
      <c r="C4" s="54">
        <f>'Segmental forecast'!C4</f>
        <v>5.8004640371229765E-2</v>
      </c>
      <c r="D4" s="54">
        <f>'Segmental forecast'!D4</f>
        <v>6.0971089696071123E-2</v>
      </c>
      <c r="E4" s="54">
        <f>'Segmental forecast'!E4</f>
        <v>5.95924308588065E-2</v>
      </c>
      <c r="F4" s="54">
        <f>'Segmental forecast'!F4</f>
        <v>7.4731433909388079E-2</v>
      </c>
      <c r="G4" s="54">
        <f>'Segmental forecast'!G4</f>
        <v>-4.3817266150267153E-2</v>
      </c>
      <c r="H4" s="54">
        <f>'Segmental forecast'!H4</f>
        <v>0.19076009945726269</v>
      </c>
      <c r="I4" s="54">
        <f>'Segmental forecast'!I4</f>
        <v>4.8767344739323759E-2</v>
      </c>
      <c r="J4" s="54">
        <f>'Segmental forecast'!J4</f>
        <v>4.9000000000000002E-2</v>
      </c>
      <c r="K4" s="54">
        <f>'Segmental forecast'!K4</f>
        <v>4.9000000000000002E-2</v>
      </c>
      <c r="L4" s="54">
        <f>'Segmental forecast'!L4</f>
        <v>4.9000000000000002E-2</v>
      </c>
      <c r="M4" s="54">
        <f>'Segmental forecast'!M4</f>
        <v>4.9000000000000002E-2</v>
      </c>
      <c r="N4" s="54">
        <f>'Segmental forecast'!N4</f>
        <v>4.9000000000000002E-2</v>
      </c>
    </row>
    <row r="5" spans="1:15" x14ac:dyDescent="0.2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7944.0769999999993</v>
      </c>
      <c r="K5" s="9">
        <f>'Segmental forecast'!K5</f>
        <v>8333.3367729999973</v>
      </c>
      <c r="L5" s="9">
        <f>'Segmental forecast'!L5</f>
        <v>8741.6702748769967</v>
      </c>
      <c r="M5" s="9">
        <f>'Segmental forecast'!M5</f>
        <v>9170.0121183459687</v>
      </c>
      <c r="N5" s="9">
        <f>'Segmental forecast'!N5</f>
        <v>9619.3427121449204</v>
      </c>
    </row>
    <row r="6" spans="1:15" x14ac:dyDescent="0.2">
      <c r="A6" s="50" t="s">
        <v>132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752.13299999999992</v>
      </c>
      <c r="K6" s="55">
        <f>'Segmental forecast'!K8</f>
        <v>788.9875169999998</v>
      </c>
      <c r="L6" s="55">
        <f>'Segmental forecast'!L8</f>
        <v>827.6479053329997</v>
      </c>
      <c r="M6" s="55">
        <f>'Segmental forecast'!M8</f>
        <v>868.20265269431661</v>
      </c>
      <c r="N6" s="55">
        <f>'Segmental forecast'!N8</f>
        <v>910.74458267633804</v>
      </c>
    </row>
    <row r="7" spans="1:15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7191.9439999999995</v>
      </c>
      <c r="K7" s="5">
        <f>'Segmental forecast'!K11</f>
        <v>7544.3492559999977</v>
      </c>
      <c r="L7" s="5">
        <f>'Segmental forecast'!L11</f>
        <v>7914.0223695439972</v>
      </c>
      <c r="M7" s="5">
        <f>'Segmental forecast'!M11</f>
        <v>8301.8094656516514</v>
      </c>
      <c r="N7" s="5">
        <f>'Segmental forecast'!N11</f>
        <v>8708.5981294685826</v>
      </c>
    </row>
    <row r="8" spans="1:15" x14ac:dyDescent="0.2">
      <c r="A8" s="42" t="s">
        <v>129</v>
      </c>
      <c r="B8" s="54" t="str">
        <f>'Segmental forecast'!B12</f>
        <v>nm</v>
      </c>
      <c r="C8" s="54">
        <f>'Segmental forecast'!C12</f>
        <v>9.6621781242617555E-2</v>
      </c>
      <c r="D8" s="54">
        <f>'Segmental forecast'!D12</f>
        <v>6.5273588970271357E-2</v>
      </c>
      <c r="E8" s="54">
        <f>'Segmental forecast'!E12</f>
        <v>-0.11445904954499497</v>
      </c>
      <c r="F8" s="54">
        <f>'Segmental forecast'!F12</f>
        <v>0.10755880337976698</v>
      </c>
      <c r="G8" s="54">
        <f>'Segmental forecast'!G12</f>
        <v>-0.38639175257731961</v>
      </c>
      <c r="H8" s="54">
        <f>'Segmental forecast'!H12</f>
        <v>1.32627688172043</v>
      </c>
      <c r="I8" s="54">
        <f>'Segmental forecast'!I12</f>
        <v>-9.67788530983682E-3</v>
      </c>
      <c r="J8" s="54">
        <f>'Segmental forecast'!J12</f>
        <v>4.8999999999999932E-2</v>
      </c>
      <c r="K8" s="54">
        <f>'Segmental forecast'!K12</f>
        <v>4.899999999999971E-2</v>
      </c>
      <c r="L8" s="54">
        <f>'Segmental forecast'!L12</f>
        <v>4.8999999999999932E-2</v>
      </c>
      <c r="M8" s="54">
        <f>'Segmental forecast'!M12</f>
        <v>4.899999999999971E-2</v>
      </c>
      <c r="N8" s="54">
        <f>'Segmental forecast'!N12</f>
        <v>4.8999999999999932E-2</v>
      </c>
    </row>
    <row r="9" spans="1:15" x14ac:dyDescent="0.2">
      <c r="A9" s="42" t="s">
        <v>131</v>
      </c>
      <c r="B9" s="54">
        <f>'Segmental forecast'!B13</f>
        <v>0.13832881278389594</v>
      </c>
      <c r="C9" s="54">
        <f>'Segmental forecast'!C13</f>
        <v>0.14337781072399308</v>
      </c>
      <c r="D9" s="54">
        <f>'Segmental forecast'!D13</f>
        <v>0.14395924308588065</v>
      </c>
      <c r="E9" s="54">
        <f>'Segmental forecast'!E13</f>
        <v>0.12031211363573921</v>
      </c>
      <c r="F9" s="54">
        <f>'Segmental forecast'!F13</f>
        <v>0.12398701331901731</v>
      </c>
      <c r="G9" s="54">
        <f>'Segmental forecast'!G13</f>
        <v>7.9565810229126011E-2</v>
      </c>
      <c r="H9" s="54">
        <f>'Segmental forecast'!H13</f>
        <v>0.1554402981723472</v>
      </c>
      <c r="I9" s="54">
        <f>'Segmental forecast'!I13</f>
        <v>0.14677799186469706</v>
      </c>
      <c r="J9" s="54">
        <f>'Segmental forecast'!J13</f>
        <v>0.14677799186469709</v>
      </c>
      <c r="K9" s="54">
        <f>'Segmental forecast'!K13</f>
        <v>0.14677799186469706</v>
      </c>
      <c r="L9" s="54">
        <f>'Segmental forecast'!L13</f>
        <v>0.14677799186469706</v>
      </c>
      <c r="M9" s="54">
        <f>'Segmental forecast'!M13</f>
        <v>0.14677799186469703</v>
      </c>
      <c r="N9" s="54">
        <f>'Segmental forecast'!N13</f>
        <v>0.14677799186469706</v>
      </c>
    </row>
    <row r="10" spans="1:15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v>-6</v>
      </c>
      <c r="K10" s="3">
        <v>-161</v>
      </c>
      <c r="L10" s="3">
        <v>-161</v>
      </c>
      <c r="M10" s="3">
        <v>-161</v>
      </c>
      <c r="N10" s="3">
        <v>-161</v>
      </c>
    </row>
    <row r="11" spans="1:15" x14ac:dyDescent="0.2">
      <c r="A11" s="4" t="s">
        <v>150</v>
      </c>
      <c r="B11" s="5">
        <f>B7-B10</f>
        <v>4205</v>
      </c>
      <c r="C11" s="5">
        <f t="shared" ref="C11:K11" si="1">C7-C10</f>
        <v>4623</v>
      </c>
      <c r="D11" s="5">
        <f t="shared" si="1"/>
        <v>4886</v>
      </c>
      <c r="E11" s="5">
        <f t="shared" si="1"/>
        <v>4325</v>
      </c>
      <c r="F11" s="5">
        <f t="shared" si="1"/>
        <v>4801</v>
      </c>
      <c r="G11" s="5">
        <f t="shared" si="1"/>
        <v>2887</v>
      </c>
      <c r="H11" s="5">
        <f t="shared" si="1"/>
        <v>6661</v>
      </c>
      <c r="I11" s="5">
        <f t="shared" si="1"/>
        <v>6651</v>
      </c>
      <c r="J11" s="5">
        <f t="shared" si="1"/>
        <v>7197.9439999999995</v>
      </c>
      <c r="K11" s="5">
        <f t="shared" si="1"/>
        <v>7705.3492559999977</v>
      </c>
      <c r="L11" s="5">
        <f>L7-L10</f>
        <v>8075.0223695439972</v>
      </c>
      <c r="M11" s="5">
        <f t="shared" ref="M11" si="2">M7-M10</f>
        <v>8462.8094656516514</v>
      </c>
      <c r="N11" s="5">
        <f t="shared" ref="N11" si="3">N7-N10</f>
        <v>8869.5981294685826</v>
      </c>
    </row>
    <row r="12" spans="1:15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v>1131</v>
      </c>
      <c r="K12" s="3">
        <v>1000</v>
      </c>
      <c r="L12" s="3">
        <v>1000</v>
      </c>
      <c r="M12" s="3">
        <v>1000</v>
      </c>
      <c r="N12" s="3">
        <v>1000</v>
      </c>
    </row>
    <row r="13" spans="1:15" x14ac:dyDescent="0.2">
      <c r="A13" s="51" t="s">
        <v>151</v>
      </c>
      <c r="B13" s="56">
        <f>B12/B11</f>
        <v>0.22164090368608799</v>
      </c>
      <c r="C13" s="56">
        <f t="shared" ref="C13:N13" si="4">C12/C11</f>
        <v>0.18667531905688947</v>
      </c>
      <c r="D13" s="56">
        <f t="shared" si="4"/>
        <v>0.13221449038067951</v>
      </c>
      <c r="E13" s="56">
        <f t="shared" si="4"/>
        <v>0.55306358381502885</v>
      </c>
      <c r="F13" s="56">
        <f t="shared" si="4"/>
        <v>0.16079983336804832</v>
      </c>
      <c r="G13" s="56">
        <f t="shared" si="4"/>
        <v>0.12054035330793211</v>
      </c>
      <c r="H13" s="56">
        <f t="shared" si="4"/>
        <v>0.14021918630836211</v>
      </c>
      <c r="I13" s="56">
        <f t="shared" si="4"/>
        <v>9.0963764847391368E-2</v>
      </c>
      <c r="J13" s="56">
        <f t="shared" si="4"/>
        <v>0.15712820216439585</v>
      </c>
      <c r="K13" s="56">
        <f t="shared" si="4"/>
        <v>0.12977997061214591</v>
      </c>
      <c r="L13" s="56">
        <f t="shared" si="4"/>
        <v>0.1238386662273074</v>
      </c>
      <c r="M13" s="56">
        <f t="shared" si="4"/>
        <v>0.1181640688070245</v>
      </c>
      <c r="N13" s="56">
        <f t="shared" si="4"/>
        <v>0.11274467968030864</v>
      </c>
    </row>
    <row r="14" spans="1:15" ht="16" thickBot="1" x14ac:dyDescent="0.25">
      <c r="A14" s="6" t="s">
        <v>152</v>
      </c>
      <c r="B14" s="7">
        <f>+B11-B12</f>
        <v>3273</v>
      </c>
      <c r="C14" s="7">
        <f t="shared" ref="C14:N14" si="5">+C11-C12</f>
        <v>3760</v>
      </c>
      <c r="D14" s="7">
        <f t="shared" si="5"/>
        <v>4240</v>
      </c>
      <c r="E14" s="7">
        <f t="shared" si="5"/>
        <v>1933</v>
      </c>
      <c r="F14" s="7">
        <f t="shared" si="5"/>
        <v>4029</v>
      </c>
      <c r="G14" s="7">
        <f t="shared" si="5"/>
        <v>2539</v>
      </c>
      <c r="H14" s="7">
        <f t="shared" si="5"/>
        <v>5727</v>
      </c>
      <c r="I14" s="7">
        <f t="shared" si="5"/>
        <v>6046</v>
      </c>
      <c r="J14" s="7">
        <f t="shared" si="5"/>
        <v>6066.9439999999995</v>
      </c>
      <c r="K14" s="7">
        <f t="shared" si="5"/>
        <v>6705.3492559999977</v>
      </c>
      <c r="L14" s="7">
        <f t="shared" si="5"/>
        <v>7075.0223695439972</v>
      </c>
      <c r="M14" s="7">
        <f t="shared" si="5"/>
        <v>7462.8094656516514</v>
      </c>
      <c r="N14" s="7">
        <f t="shared" si="5"/>
        <v>7869.5981294685826</v>
      </c>
    </row>
    <row r="15" spans="1:15" ht="16" thickTop="1" x14ac:dyDescent="0.2">
      <c r="A15" t="s">
        <v>153</v>
      </c>
      <c r="B15" s="57">
        <f>Historicals!B18</f>
        <v>1768.8</v>
      </c>
      <c r="C15" s="57">
        <f>Historicals!C18</f>
        <v>1742.5</v>
      </c>
      <c r="D15" s="57">
        <f>Historicals!D18</f>
        <v>1692</v>
      </c>
      <c r="E15" s="57">
        <f>Historicals!E18</f>
        <v>1659.1</v>
      </c>
      <c r="F15" s="57">
        <f>Historicals!F18</f>
        <v>1618.4</v>
      </c>
      <c r="G15" s="57">
        <f>Historicals!G18</f>
        <v>1591.6</v>
      </c>
      <c r="H15" s="57">
        <f>Historicals!H18</f>
        <v>1609.4</v>
      </c>
      <c r="I15" s="57">
        <f>Historicals!I18</f>
        <v>1610.8</v>
      </c>
      <c r="J15" s="57">
        <v>1569.8</v>
      </c>
      <c r="K15" s="57">
        <v>1529.7</v>
      </c>
      <c r="L15" s="57">
        <v>1529.7</v>
      </c>
      <c r="M15" s="57">
        <v>1529.7</v>
      </c>
      <c r="N15" s="57">
        <v>1529.7</v>
      </c>
      <c r="O15" t="s">
        <v>197</v>
      </c>
    </row>
    <row r="16" spans="1:15" x14ac:dyDescent="0.2">
      <c r="A16" t="s">
        <v>154</v>
      </c>
      <c r="B16" s="57">
        <f>IFERROR(B14/B15,"nm")</f>
        <v>1.8504070556309362</v>
      </c>
      <c r="C16" s="57">
        <f>Historicals!C14</f>
        <v>2.21</v>
      </c>
      <c r="D16" s="57">
        <f>Historicals!D14</f>
        <v>2.56</v>
      </c>
      <c r="E16" s="57">
        <f>Historicals!E14</f>
        <v>1.19</v>
      </c>
      <c r="F16" s="57">
        <f>Historicals!F14</f>
        <v>2.5499999999999998</v>
      </c>
      <c r="G16" s="57">
        <f>Historicals!G14</f>
        <v>1.63</v>
      </c>
      <c r="H16" s="57">
        <f>Historicals!H14</f>
        <v>3.64</v>
      </c>
      <c r="I16" s="57">
        <f>Historicals!I14</f>
        <v>3.83</v>
      </c>
      <c r="J16" s="57">
        <v>3.27</v>
      </c>
      <c r="K16" s="57">
        <v>3.76</v>
      </c>
      <c r="L16" s="57">
        <v>3.76</v>
      </c>
      <c r="M16" s="57">
        <v>3.76</v>
      </c>
      <c r="N16" s="57">
        <v>3.76</v>
      </c>
    </row>
    <row r="17" spans="1:15" x14ac:dyDescent="0.2">
      <c r="A17" t="s">
        <v>155</v>
      </c>
      <c r="B17" s="57">
        <f>+(-Historicals!B94/Historicals!B18)</f>
        <v>0.508254183627318</v>
      </c>
      <c r="C17" s="57">
        <f>+(-Historicals!C94/Historicals!C18)</f>
        <v>0.58651362984218081</v>
      </c>
      <c r="D17" s="57">
        <f>+(-Historicals!D94/Historicals!D18)</f>
        <v>0.66962174940898345</v>
      </c>
      <c r="E17" s="57">
        <f>+(-Historicals!E94/Historicals!E18)</f>
        <v>0.74920137423904531</v>
      </c>
      <c r="F17" s="57">
        <f>+(-Historicals!F94/Historicals!F18)</f>
        <v>0.82303509639149774</v>
      </c>
      <c r="G17" s="57">
        <f>+(-Historicals!G94/Historicals!G18)</f>
        <v>0.91228951997989449</v>
      </c>
      <c r="H17" s="57">
        <f>+(-Historicals!H94/Historicals!H18)</f>
        <v>1.0177705977382876</v>
      </c>
      <c r="I17" s="57">
        <f>+(-Historicals!I94/Historicals!I18)</f>
        <v>1.1404271169605165</v>
      </c>
      <c r="J17" s="57">
        <f>2012/1569.8</f>
        <v>1.2816919352783795</v>
      </c>
      <c r="K17" s="57">
        <f>2169/1529.7</f>
        <v>1.4179250833496764</v>
      </c>
      <c r="L17" s="57">
        <f t="shared" ref="L17:N17" si="6">2169/1529.7</f>
        <v>1.4179250833496764</v>
      </c>
      <c r="M17" s="57">
        <f t="shared" si="6"/>
        <v>1.4179250833496764</v>
      </c>
      <c r="N17" s="57">
        <f t="shared" si="6"/>
        <v>1.4179250833496764</v>
      </c>
    </row>
    <row r="18" spans="1:15" x14ac:dyDescent="0.2">
      <c r="A18" s="51" t="s">
        <v>129</v>
      </c>
      <c r="B18" s="56" t="str">
        <f>IFERROR(B17/A17-1,"nm")</f>
        <v>nm</v>
      </c>
      <c r="C18" s="56">
        <f t="shared" ref="C18:N18" si="7">IFERROR(C17/B17-1,"nm")</f>
        <v>0.15397698383186809</v>
      </c>
      <c r="D18" s="56">
        <f t="shared" si="7"/>
        <v>0.14169853067040461</v>
      </c>
      <c r="E18" s="56">
        <f t="shared" si="7"/>
        <v>0.11884265243818604</v>
      </c>
      <c r="F18" s="56">
        <f t="shared" si="7"/>
        <v>9.8549902190775418E-2</v>
      </c>
      <c r="G18" s="56">
        <f t="shared" si="7"/>
        <v>0.10844546481641237</v>
      </c>
      <c r="H18" s="56">
        <f t="shared" si="7"/>
        <v>0.11562237146023313</v>
      </c>
      <c r="I18" s="56">
        <f t="shared" si="7"/>
        <v>0.12051489745803123</v>
      </c>
      <c r="J18" s="56">
        <f t="shared" si="7"/>
        <v>0.12387009763005663</v>
      </c>
      <c r="K18" s="56">
        <f t="shared" si="7"/>
        <v>0.10629164803296298</v>
      </c>
      <c r="L18" s="56">
        <f t="shared" si="7"/>
        <v>0</v>
      </c>
      <c r="M18" s="56">
        <f t="shared" si="7"/>
        <v>0</v>
      </c>
      <c r="N18" s="56">
        <f t="shared" si="7"/>
        <v>0</v>
      </c>
      <c r="O18" t="s">
        <v>198</v>
      </c>
    </row>
    <row r="19" spans="1:15" x14ac:dyDescent="0.2">
      <c r="A19" s="51" t="s">
        <v>156</v>
      </c>
      <c r="B19" s="56">
        <f>IFERROR(B17*B15/B14,"nm")</f>
        <v>0.27467155514818214</v>
      </c>
      <c r="C19" s="56">
        <f t="shared" ref="C19:N19" si="8">IFERROR(C17*C15/C14,"nm")</f>
        <v>0.27180851063829786</v>
      </c>
      <c r="D19" s="56">
        <f t="shared" si="8"/>
        <v>0.26721698113207548</v>
      </c>
      <c r="E19" s="56">
        <f t="shared" si="8"/>
        <v>0.64304190377651316</v>
      </c>
      <c r="F19" s="56">
        <f t="shared" si="8"/>
        <v>0.33060312732688013</v>
      </c>
      <c r="G19" s="56">
        <f t="shared" si="8"/>
        <v>0.57187869239858213</v>
      </c>
      <c r="H19" s="56">
        <f t="shared" si="8"/>
        <v>0.28601361969617606</v>
      </c>
      <c r="I19" s="56">
        <f t="shared" si="8"/>
        <v>0.30383724776711873</v>
      </c>
      <c r="J19" s="56">
        <f t="shared" si="8"/>
        <v>0.33163319127389346</v>
      </c>
      <c r="K19" s="56">
        <f t="shared" si="8"/>
        <v>0.32347308353239951</v>
      </c>
      <c r="L19" s="56">
        <f t="shared" si="8"/>
        <v>0.3065714688531504</v>
      </c>
      <c r="M19" s="56">
        <f t="shared" si="8"/>
        <v>0.29064121360501644</v>
      </c>
      <c r="N19" s="56">
        <f t="shared" si="8"/>
        <v>0.27561763184297039</v>
      </c>
      <c r="O19" t="s">
        <v>198</v>
      </c>
    </row>
    <row r="20" spans="1:15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2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v>7441</v>
      </c>
      <c r="K21" s="3">
        <v>9860</v>
      </c>
      <c r="L21" s="3">
        <v>9860</v>
      </c>
      <c r="M21" s="3">
        <v>9860</v>
      </c>
      <c r="N21" s="3">
        <v>9860</v>
      </c>
    </row>
    <row r="22" spans="1:15" x14ac:dyDescent="0.2">
      <c r="A22" t="s">
        <v>159</v>
      </c>
      <c r="B22" s="3">
        <f>Historicals!B39+Historicals!B46</f>
        <v>1186</v>
      </c>
      <c r="C22" s="3">
        <f>Historicals!C39+Historicals!C46</f>
        <v>2054</v>
      </c>
      <c r="D22" s="3">
        <f>Historicals!D39+Historicals!D46</f>
        <v>3477</v>
      </c>
      <c r="E22" s="3">
        <f>Historicals!E39+Historicals!E46</f>
        <v>3474</v>
      </c>
      <c r="F22" s="3">
        <f>Historicals!F39+Historicals!F46</f>
        <v>3470</v>
      </c>
      <c r="G22" s="3">
        <f>Historicals!G39+Historicals!G46</f>
        <v>9409</v>
      </c>
      <c r="H22" s="3">
        <f>Historicals!H39+Historicals!H46</f>
        <v>9413</v>
      </c>
      <c r="I22" s="3">
        <f>Historicals!I39+Historicals!I46</f>
        <v>9420</v>
      </c>
      <c r="J22" s="3">
        <v>8927</v>
      </c>
      <c r="K22" s="3">
        <f>1000+7903</f>
        <v>8903</v>
      </c>
      <c r="L22" s="3">
        <f t="shared" ref="L22:N22" si="9">1000+7903</f>
        <v>8903</v>
      </c>
      <c r="M22" s="3">
        <f t="shared" si="9"/>
        <v>8903</v>
      </c>
      <c r="N22" s="3">
        <f t="shared" si="9"/>
        <v>8903</v>
      </c>
    </row>
    <row r="23" spans="1:15" x14ac:dyDescent="0.2">
      <c r="A23" t="s">
        <v>160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(8454+4131)-2862</f>
        <v>9723</v>
      </c>
      <c r="K23" s="3">
        <f>(7519+4427)-2851</f>
        <v>9095</v>
      </c>
      <c r="L23" s="3">
        <f t="shared" ref="L23:N23" si="10">(7519+4427)-2851</f>
        <v>9095</v>
      </c>
      <c r="M23" s="3">
        <f t="shared" si="10"/>
        <v>9095</v>
      </c>
      <c r="N23" s="3">
        <f t="shared" si="10"/>
        <v>9095</v>
      </c>
      <c r="O23" t="s">
        <v>203</v>
      </c>
    </row>
    <row r="24" spans="1:15" x14ac:dyDescent="0.2">
      <c r="A24" s="51" t="s">
        <v>161</v>
      </c>
      <c r="B24" s="56">
        <f>IFERROR(B23/B3,"nm")</f>
        <v>0.18182412339466031</v>
      </c>
      <c r="C24" s="56">
        <f t="shared" ref="C24:N24" si="11">IFERROR(C23/C3,"nm")</f>
        <v>0.1818631084754139</v>
      </c>
      <c r="D24" s="56">
        <f t="shared" si="11"/>
        <v>0.19458515283842795</v>
      </c>
      <c r="E24" s="56">
        <f t="shared" si="11"/>
        <v>0.17803665137236585</v>
      </c>
      <c r="F24" s="56">
        <f t="shared" si="11"/>
        <v>0.18615947030702765</v>
      </c>
      <c r="G24" s="56">
        <f t="shared" si="11"/>
        <v>0.21035745795791783</v>
      </c>
      <c r="H24" s="56">
        <f t="shared" si="11"/>
        <v>0.19042166240064665</v>
      </c>
      <c r="I24" s="56">
        <f t="shared" si="11"/>
        <v>0.20828516377649325</v>
      </c>
      <c r="J24" s="56">
        <f t="shared" si="11"/>
        <v>0.19843347152041921</v>
      </c>
      <c r="K24" s="56">
        <f t="shared" si="11"/>
        <v>0.17694645233288231</v>
      </c>
      <c r="L24" s="56">
        <f t="shared" si="11"/>
        <v>0.16868107944030727</v>
      </c>
      <c r="M24" s="56">
        <f t="shared" si="11"/>
        <v>0.16080179164948263</v>
      </c>
      <c r="N24" s="56">
        <f t="shared" si="11"/>
        <v>0.1532905544799644</v>
      </c>
    </row>
    <row r="25" spans="1:15" x14ac:dyDescent="0.2">
      <c r="A25" t="s">
        <v>162</v>
      </c>
      <c r="B25" s="3">
        <f>Historicals!B26+Historicals!B27+Historicals!B28+Historicals!B29</f>
        <v>11735</v>
      </c>
      <c r="C25" s="3">
        <f>Historicals!C26+Historicals!C27+Historicals!C28+Historicals!C29</f>
        <v>11887</v>
      </c>
      <c r="D25" s="3">
        <f>Historicals!D26+Historicals!D27+Historicals!D28+Historicals!D29</f>
        <v>12253</v>
      </c>
      <c r="E25" s="3">
        <f>Historicals!E26+Historicals!E27+Historicals!E28+Historicals!E29</f>
        <v>10885</v>
      </c>
      <c r="F25" s="3">
        <f>Historicals!F26+Historicals!F27+Historicals!F28+Historicals!F29</f>
        <v>12059</v>
      </c>
      <c r="G25" s="3">
        <f>Historicals!G26+Historicals!G27+Historicals!G28+Historicals!G29</f>
        <v>12208</v>
      </c>
      <c r="H25" s="3">
        <f>Historicals!H26+Historicals!H27+Historicals!H28+Historicals!H29</f>
        <v>16402</v>
      </c>
      <c r="I25" s="3">
        <f>Historicals!I26+Historicals!I27+Historicals!I28+Historicals!I29</f>
        <v>19639</v>
      </c>
      <c r="J25" s="3">
        <f>3234+4131+8454+1942</f>
        <v>17761</v>
      </c>
      <c r="K25" s="3">
        <f>1722+4427+7519+1854</f>
        <v>15522</v>
      </c>
      <c r="L25" s="3">
        <f t="shared" ref="L25:N25" si="12">1722+4427+7519+1854</f>
        <v>15522</v>
      </c>
      <c r="M25" s="3">
        <f t="shared" si="12"/>
        <v>15522</v>
      </c>
      <c r="N25" s="3">
        <f t="shared" si="12"/>
        <v>15522</v>
      </c>
    </row>
    <row r="26" spans="1:15" x14ac:dyDescent="0.2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v>5081</v>
      </c>
      <c r="K26" s="3">
        <v>5000</v>
      </c>
      <c r="L26" s="3">
        <v>5000</v>
      </c>
      <c r="M26" s="3">
        <v>5000</v>
      </c>
      <c r="N26" s="3">
        <v>5000</v>
      </c>
    </row>
    <row r="27" spans="1:15" x14ac:dyDescent="0.2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v>274</v>
      </c>
      <c r="K27" s="3">
        <v>259</v>
      </c>
      <c r="L27" s="3">
        <v>259</v>
      </c>
      <c r="M27" s="3">
        <v>259</v>
      </c>
      <c r="N27" s="3">
        <v>259</v>
      </c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v>281</v>
      </c>
      <c r="K28" s="3">
        <v>240</v>
      </c>
      <c r="L28" s="3">
        <v>240</v>
      </c>
      <c r="M28" s="3">
        <v>240</v>
      </c>
      <c r="N28" s="3">
        <v>240</v>
      </c>
    </row>
    <row r="29" spans="1:15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v>2923</v>
      </c>
      <c r="K29" s="3">
        <v>2718</v>
      </c>
      <c r="L29" s="3">
        <v>2718</v>
      </c>
      <c r="M29" s="3">
        <v>2718</v>
      </c>
      <c r="N29" s="3">
        <v>2718</v>
      </c>
    </row>
    <row r="30" spans="1:15" x14ac:dyDescent="0.2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v>3770</v>
      </c>
      <c r="K30" s="3">
        <v>4511</v>
      </c>
      <c r="L30" s="3">
        <v>4511</v>
      </c>
      <c r="M30" s="3">
        <v>4511</v>
      </c>
      <c r="N30" s="3">
        <v>4511</v>
      </c>
    </row>
    <row r="31" spans="1:15" ht="16" thickBot="1" x14ac:dyDescent="0.25">
      <c r="A31" s="6" t="s">
        <v>166</v>
      </c>
      <c r="B31" s="7">
        <f>SUM(B21,B25,B26,B27,B28,B29,B30)</f>
        <v>21597</v>
      </c>
      <c r="C31" s="7">
        <f t="shared" ref="C31:K31" si="13">SUM(C21,C25,C26,C27,C28,C29,C30)</f>
        <v>21396</v>
      </c>
      <c r="D31" s="7">
        <f t="shared" si="13"/>
        <v>23259</v>
      </c>
      <c r="E31" s="7">
        <f t="shared" si="13"/>
        <v>22536</v>
      </c>
      <c r="F31" s="7">
        <f t="shared" si="13"/>
        <v>23717</v>
      </c>
      <c r="G31" s="7">
        <f t="shared" si="13"/>
        <v>31342</v>
      </c>
      <c r="H31" s="7">
        <f t="shared" si="13"/>
        <v>37740</v>
      </c>
      <c r="I31" s="7">
        <f t="shared" si="13"/>
        <v>40321</v>
      </c>
      <c r="J31" s="7">
        <f t="shared" si="13"/>
        <v>37531</v>
      </c>
      <c r="K31" s="7">
        <f t="shared" si="13"/>
        <v>38110</v>
      </c>
      <c r="L31" s="7">
        <f>SUM(L21,L25,L26,L27,L28,L29,L30)</f>
        <v>38110</v>
      </c>
      <c r="M31" s="7">
        <f t="shared" ref="M31:N31" si="14">SUM(M21,M25,M26,M27,M28,M29,M30)</f>
        <v>38110</v>
      </c>
      <c r="N31" s="7">
        <f t="shared" si="14"/>
        <v>38110</v>
      </c>
    </row>
    <row r="32" spans="1:15" ht="16" thickTop="1" x14ac:dyDescent="0.2">
      <c r="A32" t="s">
        <v>167</v>
      </c>
      <c r="B32" s="3">
        <f>Historicals!B42</f>
        <v>0</v>
      </c>
      <c r="C32" s="3">
        <f>Historicals!C42</f>
        <v>0</v>
      </c>
      <c r="D32" s="3">
        <f>Historicals!D42</f>
        <v>0</v>
      </c>
      <c r="E32" s="3">
        <f>Historicals!E42</f>
        <v>0</v>
      </c>
      <c r="F32" s="3">
        <f>Historicals!F42</f>
        <v>0</v>
      </c>
      <c r="G32" s="3">
        <f>Historicals!G42</f>
        <v>445</v>
      </c>
      <c r="H32" s="3">
        <f>Historicals!H42</f>
        <v>467</v>
      </c>
      <c r="I32" s="3">
        <f>Historicals!I42</f>
        <v>420</v>
      </c>
      <c r="J32" s="3">
        <v>425</v>
      </c>
      <c r="K32" s="3">
        <v>477</v>
      </c>
      <c r="L32" s="3">
        <v>477</v>
      </c>
      <c r="M32" s="3">
        <v>477</v>
      </c>
      <c r="N32" s="3">
        <v>477</v>
      </c>
    </row>
    <row r="33" spans="1:15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v>0</v>
      </c>
      <c r="K33" s="3">
        <v>1000</v>
      </c>
      <c r="L33" s="3">
        <v>1000</v>
      </c>
      <c r="M33" s="3">
        <v>1000</v>
      </c>
      <c r="N33" s="3">
        <v>1000</v>
      </c>
    </row>
    <row r="34" spans="1:15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v>6</v>
      </c>
      <c r="K34" s="3">
        <v>6</v>
      </c>
      <c r="L34" s="3">
        <v>6</v>
      </c>
      <c r="M34" s="3">
        <v>6</v>
      </c>
      <c r="N34" s="3">
        <v>6</v>
      </c>
    </row>
    <row r="35" spans="1:15" x14ac:dyDescent="0.2">
      <c r="A35" t="s">
        <v>168</v>
      </c>
      <c r="B35" s="3">
        <f>Historicals!B41+Historicals!B43+Historicals!B44</f>
        <v>6151</v>
      </c>
      <c r="C35" s="3">
        <f>Historicals!C41+Historicals!C43+Historicals!C44</f>
        <v>5313</v>
      </c>
      <c r="D35" s="3">
        <f>Historicals!D41+Historicals!D43+Historicals!D44</f>
        <v>5143</v>
      </c>
      <c r="E35" s="3">
        <f>Historicals!E41+Historicals!E43+Historicals!E44</f>
        <v>5698</v>
      </c>
      <c r="F35" s="3">
        <f>Historicals!F41+Historicals!F43+Historicals!F44</f>
        <v>7851</v>
      </c>
      <c r="G35" s="3">
        <f>Historicals!G41+Historicals!G43+Historicals!G44</f>
        <v>7588</v>
      </c>
      <c r="H35" s="3">
        <f>Historicals!H41+Historicals!H43+Historicals!H44</f>
        <v>9205</v>
      </c>
      <c r="I35" s="3">
        <f>Historicals!I41+Historicals!I43+Historicals!I44</f>
        <v>9800</v>
      </c>
      <c r="J35" s="3">
        <f>2862+5723+240</f>
        <v>8825</v>
      </c>
      <c r="K35" s="3">
        <f>2851+5725+534</f>
        <v>9110</v>
      </c>
      <c r="L35" s="3">
        <f t="shared" ref="L35:N35" si="15">2851+5725+534</f>
        <v>9110</v>
      </c>
      <c r="M35" s="3">
        <f t="shared" si="15"/>
        <v>9110</v>
      </c>
      <c r="N35" s="3">
        <f t="shared" si="15"/>
        <v>9110</v>
      </c>
    </row>
    <row r="36" spans="1:15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v>8927</v>
      </c>
      <c r="K36" s="3">
        <v>7903</v>
      </c>
      <c r="L36" s="3">
        <v>7903</v>
      </c>
      <c r="M36" s="3">
        <v>7903</v>
      </c>
      <c r="N36" s="3">
        <v>7903</v>
      </c>
    </row>
    <row r="37" spans="1:15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v>2786</v>
      </c>
      <c r="K37" s="3">
        <v>2566</v>
      </c>
      <c r="L37" s="3">
        <v>2566</v>
      </c>
      <c r="M37" s="3">
        <v>2566</v>
      </c>
      <c r="N37" s="3">
        <v>2566</v>
      </c>
    </row>
    <row r="38" spans="1:15" x14ac:dyDescent="0.2">
      <c r="A38" t="s">
        <v>169</v>
      </c>
      <c r="B38" s="3">
        <f>SUM(Historicals!B48)</f>
        <v>1479</v>
      </c>
      <c r="C38" s="3">
        <f>SUM(Historicals!C48:C50)</f>
        <v>1770</v>
      </c>
      <c r="D38" s="3">
        <f>SUM(Historicals!D48:D50)</f>
        <v>1907</v>
      </c>
      <c r="E38" s="3">
        <f>SUM(Historicals!E48:E50)</f>
        <v>3216</v>
      </c>
      <c r="F38" s="3">
        <f>SUM(Historicals!F48:F50)</f>
        <v>3347</v>
      </c>
      <c r="G38" s="3">
        <f>SUM(Historicals!G48:G50)</f>
        <v>2684</v>
      </c>
      <c r="H38" s="3">
        <f>SUM(Historicals!H48:H50)</f>
        <v>2955</v>
      </c>
      <c r="I38" s="3">
        <f>SUM(Historicals!I48:I50)</f>
        <v>2613</v>
      </c>
      <c r="J38" s="3">
        <v>2558</v>
      </c>
      <c r="K38" s="3">
        <v>2618</v>
      </c>
      <c r="L38" s="3">
        <v>2618</v>
      </c>
      <c r="M38" s="3">
        <v>2618</v>
      </c>
      <c r="N38" s="3">
        <v>2618</v>
      </c>
    </row>
    <row r="39" spans="1:15" x14ac:dyDescent="0.2">
      <c r="A39" t="s">
        <v>170</v>
      </c>
      <c r="B39" s="3">
        <f>Historicals!B55</f>
        <v>6773</v>
      </c>
      <c r="C39" s="3">
        <f>Historicals!C55</f>
        <v>7786</v>
      </c>
      <c r="D39" s="3">
        <f>Historicals!D55</f>
        <v>5710</v>
      </c>
      <c r="E39" s="3">
        <f>Historicals!E55</f>
        <v>6384</v>
      </c>
      <c r="F39" s="3">
        <f>Historicals!F55</f>
        <v>7163</v>
      </c>
      <c r="G39" s="3">
        <f>Historicals!G55</f>
        <v>8299</v>
      </c>
      <c r="H39" s="3">
        <f>Historicals!H55</f>
        <v>9965</v>
      </c>
      <c r="I39" s="3">
        <f>Historicals!I55</f>
        <v>11484</v>
      </c>
      <c r="J39" s="3">
        <v>12412</v>
      </c>
      <c r="K39" s="3">
        <v>13409</v>
      </c>
      <c r="L39" s="3">
        <v>13409</v>
      </c>
      <c r="M39" s="3">
        <v>13409</v>
      </c>
      <c r="N39" s="3">
        <v>13409</v>
      </c>
    </row>
    <row r="40" spans="1:15" x14ac:dyDescent="0.2">
      <c r="A40" s="2" t="s">
        <v>171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v>3</v>
      </c>
      <c r="K40" s="3">
        <v>3</v>
      </c>
      <c r="L40" s="3">
        <v>3</v>
      </c>
      <c r="M40" s="3">
        <v>3</v>
      </c>
      <c r="N40" s="3">
        <v>3</v>
      </c>
    </row>
    <row r="41" spans="1:15" x14ac:dyDescent="0.2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v>1358</v>
      </c>
      <c r="K41" s="3">
        <v>965</v>
      </c>
      <c r="L41" s="3">
        <v>965</v>
      </c>
      <c r="M41" s="3">
        <v>965</v>
      </c>
      <c r="N41" s="3">
        <v>965</v>
      </c>
    </row>
    <row r="42" spans="1:15" x14ac:dyDescent="0.2">
      <c r="A42" s="2" t="s">
        <v>173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  <c r="J42" s="3">
        <v>231</v>
      </c>
      <c r="K42" s="3">
        <v>53</v>
      </c>
      <c r="L42" s="3">
        <v>53</v>
      </c>
      <c r="M42" s="3">
        <v>53</v>
      </c>
      <c r="N42" s="3">
        <v>53</v>
      </c>
    </row>
    <row r="43" spans="1:15" ht="16" thickBot="1" x14ac:dyDescent="0.25">
      <c r="A43" s="6" t="s">
        <v>174</v>
      </c>
      <c r="B43" s="7">
        <f t="shared" ref="B43:F43" si="16">SUM(B33:B42)</f>
        <v>21597</v>
      </c>
      <c r="C43" s="7">
        <f t="shared" si="16"/>
        <v>21396</v>
      </c>
      <c r="D43" s="7">
        <f t="shared" si="16"/>
        <v>23259</v>
      </c>
      <c r="E43" s="7">
        <f t="shared" si="16"/>
        <v>22536</v>
      </c>
      <c r="F43" s="7">
        <f t="shared" si="16"/>
        <v>23717</v>
      </c>
      <c r="G43" s="7">
        <f>SUM(G32:G42)</f>
        <v>31342</v>
      </c>
      <c r="H43" s="7">
        <f t="shared" ref="H43:N43" si="17">SUM(H32:H42)</f>
        <v>37740</v>
      </c>
      <c r="I43" s="7">
        <f t="shared" si="17"/>
        <v>40321</v>
      </c>
      <c r="J43" s="7">
        <f t="shared" si="17"/>
        <v>37531</v>
      </c>
      <c r="K43" s="7">
        <f t="shared" si="17"/>
        <v>38110</v>
      </c>
      <c r="L43" s="7">
        <f t="shared" si="17"/>
        <v>38110</v>
      </c>
      <c r="M43" s="7">
        <f t="shared" si="17"/>
        <v>38110</v>
      </c>
      <c r="N43" s="7">
        <f t="shared" si="17"/>
        <v>38110</v>
      </c>
    </row>
    <row r="44" spans="1:15" s="1" customFormat="1" ht="16" thickTop="1" x14ac:dyDescent="0.2">
      <c r="A44" s="59" t="s">
        <v>175</v>
      </c>
      <c r="B44" s="59">
        <f>B31-B43</f>
        <v>0</v>
      </c>
      <c r="C44" s="59">
        <f t="shared" ref="C44:N44" si="18">C31-C43</f>
        <v>0</v>
      </c>
      <c r="D44" s="59">
        <f t="shared" si="18"/>
        <v>0</v>
      </c>
      <c r="E44" s="59">
        <f t="shared" si="18"/>
        <v>0</v>
      </c>
      <c r="F44" s="59">
        <f t="shared" si="18"/>
        <v>0</v>
      </c>
      <c r="G44" s="59">
        <f t="shared" si="18"/>
        <v>0</v>
      </c>
      <c r="H44" s="59">
        <f t="shared" si="18"/>
        <v>0</v>
      </c>
      <c r="I44" s="59">
        <f t="shared" si="18"/>
        <v>0</v>
      </c>
      <c r="J44" s="59">
        <f t="shared" si="18"/>
        <v>0</v>
      </c>
      <c r="K44" s="59">
        <f t="shared" si="18"/>
        <v>0</v>
      </c>
      <c r="L44" s="59">
        <f t="shared" si="18"/>
        <v>0</v>
      </c>
      <c r="M44" s="59">
        <f t="shared" si="18"/>
        <v>0</v>
      </c>
      <c r="N44" s="59">
        <f t="shared" si="18"/>
        <v>0</v>
      </c>
    </row>
    <row r="45" spans="1:15" x14ac:dyDescent="0.2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5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7191.9439999999995</v>
      </c>
      <c r="K46" s="9">
        <f>'Segmental forecast'!K11</f>
        <v>7544.3492559999977</v>
      </c>
      <c r="L46" s="9">
        <f>'Segmental forecast'!L11</f>
        <v>7914.0223695439972</v>
      </c>
      <c r="M46" s="9">
        <f>'Segmental forecast'!M11</f>
        <v>8301.8094656516514</v>
      </c>
      <c r="N46" s="9">
        <f>'Segmental forecast'!N11</f>
        <v>8708.5981294685826</v>
      </c>
      <c r="O46" t="s">
        <v>202</v>
      </c>
    </row>
    <row r="47" spans="1:15" x14ac:dyDescent="0.2">
      <c r="A47" t="s">
        <v>132</v>
      </c>
      <c r="B47" s="58">
        <f>'Segmental forecast'!B8</f>
        <v>606</v>
      </c>
      <c r="C47" s="58">
        <f>'Segmental forecast'!C8</f>
        <v>649</v>
      </c>
      <c r="D47" s="58">
        <f>'Segmental forecast'!D8</f>
        <v>706</v>
      </c>
      <c r="E47" s="58">
        <f>'Segmental forecast'!E8</f>
        <v>747</v>
      </c>
      <c r="F47" s="58">
        <f>'Segmental forecast'!F8</f>
        <v>705</v>
      </c>
      <c r="G47" s="58">
        <f>'Segmental forecast'!G8</f>
        <v>721</v>
      </c>
      <c r="H47" s="58">
        <f>'Segmental forecast'!H8</f>
        <v>744</v>
      </c>
      <c r="I47" s="58">
        <f>'Segmental forecast'!I8</f>
        <v>717</v>
      </c>
      <c r="J47" s="58">
        <f>'Segmental forecast'!J8</f>
        <v>752.13299999999992</v>
      </c>
      <c r="K47" s="58">
        <f>'Segmental forecast'!K8</f>
        <v>788.9875169999998</v>
      </c>
      <c r="L47" s="58">
        <f>'Segmental forecast'!L8</f>
        <v>827.6479053329997</v>
      </c>
      <c r="M47" s="58">
        <f>'Segmental forecast'!M8</f>
        <v>868.20265269431661</v>
      </c>
      <c r="N47" s="58">
        <f>'Segmental forecast'!N8</f>
        <v>910.74458267633804</v>
      </c>
      <c r="O47" t="s">
        <v>202</v>
      </c>
    </row>
    <row r="48" spans="1:15" x14ac:dyDescent="0.2">
      <c r="A48" t="s">
        <v>176</v>
      </c>
      <c r="B48" s="3">
        <f>Historicals!B106</f>
        <v>1262</v>
      </c>
      <c r="C48" s="3">
        <f>Historicals!C106</f>
        <v>748</v>
      </c>
      <c r="D48" s="3">
        <f>Historicals!D106</f>
        <v>703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3">
        <v>1517</v>
      </c>
      <c r="K48" s="3">
        <v>1299</v>
      </c>
      <c r="L48" s="3">
        <v>1299</v>
      </c>
      <c r="M48" s="3">
        <v>1299</v>
      </c>
      <c r="N48" s="3">
        <v>1299</v>
      </c>
      <c r="O48" t="s">
        <v>206</v>
      </c>
    </row>
    <row r="49" spans="1:15" x14ac:dyDescent="0.2">
      <c r="A49" s="1" t="s">
        <v>177</v>
      </c>
      <c r="B49" s="9">
        <f>B46-B48</f>
        <v>2971</v>
      </c>
      <c r="C49" s="9">
        <f t="shared" ref="C49:N49" si="19">C46-C48</f>
        <v>3894</v>
      </c>
      <c r="D49" s="9">
        <f t="shared" si="19"/>
        <v>4242</v>
      </c>
      <c r="E49" s="9">
        <f t="shared" si="19"/>
        <v>3850</v>
      </c>
      <c r="F49" s="9">
        <f t="shared" si="19"/>
        <v>4093</v>
      </c>
      <c r="G49" s="9">
        <f t="shared" si="19"/>
        <v>1948</v>
      </c>
      <c r="H49" s="9">
        <f t="shared" si="19"/>
        <v>5746</v>
      </c>
      <c r="I49" s="9">
        <f t="shared" si="19"/>
        <v>5625</v>
      </c>
      <c r="J49" s="9">
        <f t="shared" si="19"/>
        <v>5674.9439999999995</v>
      </c>
      <c r="K49" s="9">
        <f t="shared" si="19"/>
        <v>6245.3492559999977</v>
      </c>
      <c r="L49" s="9">
        <f t="shared" si="19"/>
        <v>6615.0223695439972</v>
      </c>
      <c r="M49" s="9">
        <f t="shared" si="19"/>
        <v>7002.8094656516514</v>
      </c>
      <c r="N49" s="9">
        <f t="shared" si="19"/>
        <v>7409.5981294685826</v>
      </c>
    </row>
    <row r="50" spans="1:15" x14ac:dyDescent="0.2">
      <c r="A50" t="s">
        <v>178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3">
        <v>347</v>
      </c>
      <c r="K50" s="3">
        <v>381</v>
      </c>
      <c r="L50" s="3">
        <v>381</v>
      </c>
      <c r="M50" s="3">
        <v>381</v>
      </c>
      <c r="N50" s="3">
        <v>381</v>
      </c>
      <c r="O50" t="s">
        <v>206</v>
      </c>
    </row>
    <row r="51" spans="1:15" x14ac:dyDescent="0.2">
      <c r="A51" t="s">
        <v>179</v>
      </c>
      <c r="B51" s="3">
        <f>SUM(Historicals!B72:B75)</f>
        <v>256</v>
      </c>
      <c r="C51" s="3">
        <f>SUM(Historicals!C72:C75)</f>
        <v>-1580</v>
      </c>
      <c r="D51" s="3">
        <f>SUM(Historicals!D72:D75)</f>
        <v>-935</v>
      </c>
      <c r="E51" s="3">
        <f>SUM(Historicals!E72:E75)</f>
        <v>1482</v>
      </c>
      <c r="F51" s="3">
        <f>SUM(Historicals!F72:F75)</f>
        <v>562</v>
      </c>
      <c r="G51" s="3">
        <f>SUM(Historicals!G72:G75)</f>
        <v>-1245</v>
      </c>
      <c r="H51" s="3">
        <f>SUM(Historicals!H72:H75)</f>
        <v>45</v>
      </c>
      <c r="I51" s="3">
        <f>SUM(Historicals!I72:I75)</f>
        <v>-1660</v>
      </c>
      <c r="J51" s="3">
        <f>489+(-133)+(-644)+(-225)</f>
        <v>-513</v>
      </c>
      <c r="K51" s="3">
        <f>(-329)+908+(-260)+397</f>
        <v>716</v>
      </c>
      <c r="L51" s="3">
        <f t="shared" ref="L51:N51" si="20">(-329)+908+(-260)+397</f>
        <v>716</v>
      </c>
      <c r="M51" s="3">
        <f t="shared" si="20"/>
        <v>716</v>
      </c>
      <c r="N51" s="3">
        <f t="shared" si="20"/>
        <v>716</v>
      </c>
      <c r="O51" t="s">
        <v>207</v>
      </c>
    </row>
    <row r="52" spans="1:15" x14ac:dyDescent="0.2">
      <c r="A52" t="s">
        <v>135</v>
      </c>
      <c r="B52" s="3">
        <f>-Historicals!B81-Historicals!B107</f>
        <v>757</v>
      </c>
      <c r="C52" s="3">
        <f>-Historicals!C81-Historicals!C107</f>
        <v>891</v>
      </c>
      <c r="D52" s="3">
        <f>-Historicals!D81-Historicals!D107</f>
        <v>839</v>
      </c>
      <c r="E52" s="3">
        <f>-Historicals!E81-Historicals!E107</f>
        <v>734</v>
      </c>
      <c r="F52" s="3">
        <f>-Historicals!F81-Historicals!F107</f>
        <v>959</v>
      </c>
      <c r="G52" s="3">
        <f>-Historicals!G81-Historicals!G107</f>
        <v>965</v>
      </c>
      <c r="H52" s="3">
        <f>-Historicals!H81-Historicals!H107</f>
        <v>516</v>
      </c>
      <c r="I52" s="3">
        <f>-Historicals!I81-Historicals!I107</f>
        <v>598</v>
      </c>
      <c r="J52" s="3">
        <f>(-969)-211</f>
        <v>-1180</v>
      </c>
      <c r="K52" s="3">
        <f>(-812)-160</f>
        <v>-972</v>
      </c>
      <c r="L52" s="3">
        <f t="shared" ref="L52:N52" si="21">(-812)-160</f>
        <v>-972</v>
      </c>
      <c r="M52" s="3">
        <f t="shared" si="21"/>
        <v>-972</v>
      </c>
      <c r="N52" s="3">
        <f t="shared" si="21"/>
        <v>-972</v>
      </c>
      <c r="O52" t="s">
        <v>208</v>
      </c>
    </row>
    <row r="53" spans="1:15" x14ac:dyDescent="0.2">
      <c r="A53" s="1" t="s">
        <v>180</v>
      </c>
      <c r="B53" s="9">
        <f>B49-B50-B51-B52+B47</f>
        <v>2511</v>
      </c>
      <c r="C53" s="9">
        <f t="shared" ref="C53:N53" si="22">C49-C50-C51-C52+C47</f>
        <v>5162</v>
      </c>
      <c r="D53" s="9">
        <f t="shared" si="22"/>
        <v>4946</v>
      </c>
      <c r="E53" s="9">
        <f t="shared" si="22"/>
        <v>2256</v>
      </c>
      <c r="F53" s="9">
        <f t="shared" si="22"/>
        <v>3124</v>
      </c>
      <c r="G53" s="9">
        <f t="shared" si="22"/>
        <v>2809</v>
      </c>
      <c r="H53" s="9">
        <f t="shared" si="22"/>
        <v>5636</v>
      </c>
      <c r="I53" s="9">
        <f t="shared" si="22"/>
        <v>7114</v>
      </c>
      <c r="J53" s="9">
        <f t="shared" si="22"/>
        <v>7773.0769999999993</v>
      </c>
      <c r="K53" s="9">
        <f t="shared" si="22"/>
        <v>6909.3367729999973</v>
      </c>
      <c r="L53" s="9">
        <f t="shared" si="22"/>
        <v>7317.6702748769967</v>
      </c>
      <c r="M53" s="9">
        <f t="shared" si="22"/>
        <v>7746.0121183459678</v>
      </c>
      <c r="N53" s="9">
        <f t="shared" si="22"/>
        <v>8195.3427121449204</v>
      </c>
    </row>
    <row r="54" spans="1:15" x14ac:dyDescent="0.2">
      <c r="A54" t="s">
        <v>181</v>
      </c>
      <c r="B54" s="3">
        <f>Historicals!B76-'Three Statements'!B53</f>
        <v>2169</v>
      </c>
      <c r="C54" s="3">
        <f>Historicals!C76-'Three Statements'!C53</f>
        <v>-2066</v>
      </c>
      <c r="D54" s="3">
        <f>Historicals!D76-'Three Statements'!D53</f>
        <v>-1100</v>
      </c>
      <c r="E54" s="3">
        <f>Historicals!E76-'Three Statements'!E53</f>
        <v>2699</v>
      </c>
      <c r="F54" s="3">
        <f>Historicals!F76-'Three Statements'!F53</f>
        <v>2779</v>
      </c>
      <c r="G54" s="3">
        <f>Historicals!G76-'Three Statements'!G53</f>
        <v>-324</v>
      </c>
      <c r="H54" s="3">
        <f>Historicals!H76-'Three Statements'!H53</f>
        <v>1021</v>
      </c>
      <c r="I54" s="3">
        <f>Historicals!I76-'Three Statements'!I53</f>
        <v>-1926</v>
      </c>
      <c r="J54" s="3">
        <f>Historicals!J76-'Three Statements'!J53</f>
        <v>-7773.0769999999993</v>
      </c>
      <c r="K54" s="3">
        <f>Historicals!K76-'Three Statements'!K53</f>
        <v>-6909.3367729999973</v>
      </c>
      <c r="L54" s="3">
        <f>Historicals!L76-'Three Statements'!L53</f>
        <v>-7317.6702748769967</v>
      </c>
      <c r="M54" s="3">
        <f>Historicals!M76-'Three Statements'!M53</f>
        <v>-7746.0121183459678</v>
      </c>
      <c r="N54" s="3">
        <f>Historicals!N76-'Three Statements'!N53</f>
        <v>-8195.3427121449204</v>
      </c>
    </row>
    <row r="55" spans="1:15" x14ac:dyDescent="0.2">
      <c r="A55" s="27" t="s">
        <v>182</v>
      </c>
      <c r="B55" s="26">
        <f>Historicals!B76</f>
        <v>4680</v>
      </c>
      <c r="C55" s="26">
        <f>Historicals!C76</f>
        <v>3096</v>
      </c>
      <c r="D55" s="26">
        <f>SUM(D53:D54)</f>
        <v>3846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>
        <v>5070</v>
      </c>
      <c r="K55" s="26">
        <v>5700</v>
      </c>
      <c r="L55" s="26">
        <v>5700</v>
      </c>
      <c r="M55" s="26">
        <v>5700</v>
      </c>
      <c r="N55" s="26">
        <v>5700</v>
      </c>
    </row>
    <row r="56" spans="1:15" x14ac:dyDescent="0.2">
      <c r="A56" t="s">
        <v>183</v>
      </c>
      <c r="B56" s="3">
        <f>SUM(Historicals!B78:B81)</f>
        <v>-28</v>
      </c>
      <c r="C56" s="3">
        <f>SUM(Historicals!C78:C81)</f>
        <v>-1200</v>
      </c>
      <c r="D56" s="3">
        <f>SUM(Historicals!D78:D81)</f>
        <v>-987</v>
      </c>
      <c r="E56" s="3">
        <f>SUM(Historicals!E78:E81)</f>
        <v>298</v>
      </c>
      <c r="F56" s="3">
        <f>SUM(Historicals!F78:F81)</f>
        <v>-269</v>
      </c>
      <c r="G56" s="3">
        <f>SUM(Historicals!G78:G81)</f>
        <v>-1059</v>
      </c>
      <c r="H56" s="3">
        <f>SUM(Historicals!H78:H81)</f>
        <v>-3971</v>
      </c>
      <c r="I56" s="3">
        <f>SUM(Historicals!I78:I81)</f>
        <v>-1505</v>
      </c>
      <c r="J56" s="3">
        <f>(-6059)+3356+4184+(-969)</f>
        <v>512</v>
      </c>
      <c r="K56" s="3">
        <f>(-4767)+2269+4219+(-812)</f>
        <v>909</v>
      </c>
      <c r="L56" s="3">
        <f t="shared" ref="L56:N56" si="23">(-4767)+2269+4219+(-812)</f>
        <v>909</v>
      </c>
      <c r="M56" s="3">
        <f t="shared" si="23"/>
        <v>909</v>
      </c>
      <c r="N56" s="3">
        <f t="shared" si="23"/>
        <v>909</v>
      </c>
    </row>
    <row r="57" spans="1:15" x14ac:dyDescent="0.2">
      <c r="A57" t="s">
        <v>184</v>
      </c>
      <c r="B57" s="3">
        <f>Historicals!B83</f>
        <v>-147</v>
      </c>
      <c r="C57" s="3">
        <f>Historicals!C83</f>
        <v>166</v>
      </c>
      <c r="D57" s="3">
        <f>Historicals!D83</f>
        <v>-21</v>
      </c>
      <c r="E57" s="3">
        <f>Historicals!E83</f>
        <v>-22</v>
      </c>
      <c r="F57" s="3">
        <f>Historicals!F83</f>
        <v>5</v>
      </c>
      <c r="G57" s="3">
        <f>Historicals!G83</f>
        <v>31</v>
      </c>
      <c r="H57" s="3">
        <f>Historicals!H83</f>
        <v>171</v>
      </c>
      <c r="I57" s="3">
        <f>Historicals!I83</f>
        <v>-19</v>
      </c>
      <c r="J57" s="3">
        <v>52</v>
      </c>
      <c r="K57" s="3">
        <v>-15</v>
      </c>
      <c r="L57" s="3">
        <v>-15</v>
      </c>
      <c r="M57" s="3">
        <v>-15</v>
      </c>
      <c r="N57" s="3">
        <v>-15</v>
      </c>
    </row>
    <row r="58" spans="1:15" x14ac:dyDescent="0.2">
      <c r="A58" s="27" t="s">
        <v>185</v>
      </c>
      <c r="B58" s="26">
        <f>Historicals!B84</f>
        <v>-175</v>
      </c>
      <c r="C58" s="26">
        <f>SUM(C56:C57)</f>
        <v>-1034</v>
      </c>
      <c r="D58" s="26">
        <f t="shared" ref="D58:N58" si="24">SUM(D56:D57)</f>
        <v>-1008</v>
      </c>
      <c r="E58" s="26">
        <f t="shared" si="24"/>
        <v>276</v>
      </c>
      <c r="F58" s="26">
        <f t="shared" si="24"/>
        <v>-264</v>
      </c>
      <c r="G58" s="26">
        <f t="shared" si="24"/>
        <v>-1028</v>
      </c>
      <c r="H58" s="26">
        <f t="shared" si="24"/>
        <v>-3800</v>
      </c>
      <c r="I58" s="26">
        <f t="shared" si="24"/>
        <v>-1524</v>
      </c>
      <c r="J58" s="26">
        <f t="shared" si="24"/>
        <v>564</v>
      </c>
      <c r="K58" s="26">
        <f t="shared" si="24"/>
        <v>894</v>
      </c>
      <c r="L58" s="26">
        <f t="shared" si="24"/>
        <v>894</v>
      </c>
      <c r="M58" s="26">
        <f t="shared" si="24"/>
        <v>894</v>
      </c>
      <c r="N58" s="26">
        <f t="shared" si="24"/>
        <v>894</v>
      </c>
    </row>
    <row r="59" spans="1:15" x14ac:dyDescent="0.2">
      <c r="A59" t="s">
        <v>186</v>
      </c>
      <c r="B59" s="3">
        <f>Historicals!B91+Historicals!B93</f>
        <v>-2020</v>
      </c>
      <c r="C59" s="3">
        <f>Historicals!C91+Historicals!C93</f>
        <v>-2731</v>
      </c>
      <c r="D59" s="3">
        <f>Historicals!D91+Historicals!D93</f>
        <v>-2734</v>
      </c>
      <c r="E59" s="3">
        <f>Historicals!E91+Historicals!E93</f>
        <v>-3521</v>
      </c>
      <c r="F59" s="3">
        <f>Historicals!F91+Historicals!F93</f>
        <v>-3586</v>
      </c>
      <c r="G59" s="3">
        <f>Historicals!G91+Historicals!G93</f>
        <v>-2182</v>
      </c>
      <c r="H59" s="3">
        <f>Historicals!H91+Historicals!H93</f>
        <v>564</v>
      </c>
      <c r="I59" s="3">
        <f>Historicals!I91+Historicals!I93</f>
        <v>-2863</v>
      </c>
      <c r="J59" s="3">
        <f>651+(-5480)</f>
        <v>-4829</v>
      </c>
      <c r="K59" s="3">
        <f>667+(-4250)</f>
        <v>-3583</v>
      </c>
      <c r="L59" s="3">
        <f t="shared" ref="L59:N59" si="25">667+(-4250)</f>
        <v>-3583</v>
      </c>
      <c r="M59" s="3">
        <f t="shared" si="25"/>
        <v>-3583</v>
      </c>
      <c r="N59" s="3">
        <f t="shared" si="25"/>
        <v>-3583</v>
      </c>
    </row>
    <row r="60" spans="1:15" x14ac:dyDescent="0.2">
      <c r="A60" s="51" t="s">
        <v>129</v>
      </c>
      <c r="B60" s="56" t="str">
        <f>IFERROR(B59/A59-1,"nm")</f>
        <v>nm</v>
      </c>
      <c r="C60" s="56">
        <f t="shared" ref="C60:N60" si="26">IFERROR(C59/B59-1,"nm")</f>
        <v>0.35198019801980207</v>
      </c>
      <c r="D60" s="56">
        <f t="shared" si="26"/>
        <v>1.0984987184181616E-3</v>
      </c>
      <c r="E60" s="56">
        <f t="shared" si="26"/>
        <v>0.28785662033650339</v>
      </c>
      <c r="F60" s="56">
        <f t="shared" si="26"/>
        <v>1.8460664583924924E-2</v>
      </c>
      <c r="G60" s="56">
        <f t="shared" si="26"/>
        <v>-0.39152258784160621</v>
      </c>
      <c r="H60" s="56">
        <f t="shared" si="26"/>
        <v>-1.2584784601283228</v>
      </c>
      <c r="I60" s="56">
        <f t="shared" si="26"/>
        <v>-6.0762411347517729</v>
      </c>
      <c r="J60" s="56">
        <f t="shared" si="26"/>
        <v>0.68669228082431011</v>
      </c>
      <c r="K60" s="56">
        <f t="shared" si="26"/>
        <v>-0.25802443570097333</v>
      </c>
      <c r="L60" s="56">
        <f t="shared" si="26"/>
        <v>0</v>
      </c>
      <c r="M60" s="56">
        <f t="shared" si="26"/>
        <v>0</v>
      </c>
      <c r="N60" s="56">
        <f t="shared" si="26"/>
        <v>0</v>
      </c>
    </row>
    <row r="61" spans="1:15" x14ac:dyDescent="0.2">
      <c r="A61" t="s">
        <v>187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v>-2012</v>
      </c>
      <c r="K61" s="3">
        <v>-2169</v>
      </c>
      <c r="L61" s="3">
        <v>-2169</v>
      </c>
      <c r="M61" s="3">
        <v>-2169</v>
      </c>
      <c r="N61" s="3">
        <v>-2169</v>
      </c>
    </row>
    <row r="62" spans="1:15" x14ac:dyDescent="0.2">
      <c r="A62" t="s">
        <v>188</v>
      </c>
      <c r="B62" s="3">
        <f>Historicals!B86+Historicals!B88+Historicals!B90</f>
        <v>-70</v>
      </c>
      <c r="C62" s="3">
        <f>Historicals!C86+Historicals!C88+Historicals!C90</f>
        <v>808</v>
      </c>
      <c r="D62" s="3">
        <f>Historicals!D86+Historicals!D88+Historicals!D90</f>
        <v>1765</v>
      </c>
      <c r="E62" s="3">
        <f>Historicals!E86+Historicals!E88+Historicals!E90</f>
        <v>7</v>
      </c>
      <c r="F62" s="3">
        <f>Historicals!F86+Historicals!F88+Historicals!F90</f>
        <v>-325</v>
      </c>
      <c r="G62" s="3">
        <f>Historicals!G86+Historicals!G88+Historicals!G90</f>
        <v>6183</v>
      </c>
      <c r="H62" s="3">
        <f>Historicals!H86+Historicals!H88+Historicals!H90</f>
        <v>-249</v>
      </c>
      <c r="I62" s="3">
        <f>Historicals!I86+Historicals!I88+Historicals!I90</f>
        <v>15</v>
      </c>
      <c r="J62" s="3">
        <f>-4+(-500)+651</f>
        <v>147</v>
      </c>
      <c r="K62" s="3">
        <v>667</v>
      </c>
      <c r="L62" s="3">
        <v>667</v>
      </c>
      <c r="M62" s="3">
        <v>667</v>
      </c>
      <c r="N62" s="3">
        <v>667</v>
      </c>
    </row>
    <row r="63" spans="1:15" x14ac:dyDescent="0.2">
      <c r="A63" t="s">
        <v>189</v>
      </c>
      <c r="B63" s="3">
        <f>Historicals!B95</f>
        <v>199</v>
      </c>
      <c r="C63" s="3">
        <f>Historicals!C95</f>
        <v>274</v>
      </c>
      <c r="D63" s="3">
        <f>Historicals!D95</f>
        <v>-46</v>
      </c>
      <c r="E63" s="3">
        <f>Historicals!E95</f>
        <v>-78</v>
      </c>
      <c r="F63" s="3">
        <f>Historicals!F95</f>
        <v>-50</v>
      </c>
      <c r="G63" s="3">
        <f>Historicals!G95</f>
        <v>-58</v>
      </c>
      <c r="H63" s="3">
        <f>Historicals!H95</f>
        <v>-136</v>
      </c>
      <c r="I63" s="3">
        <f>Historicals!I95</f>
        <v>-151</v>
      </c>
      <c r="J63" s="3">
        <v>-102</v>
      </c>
      <c r="K63" s="3">
        <v>-136</v>
      </c>
      <c r="L63" s="3">
        <v>-136</v>
      </c>
      <c r="M63" s="3">
        <v>-136</v>
      </c>
      <c r="N63" s="3">
        <v>-136</v>
      </c>
    </row>
    <row r="64" spans="1:15" x14ac:dyDescent="0.2">
      <c r="A64" s="27" t="s">
        <v>190</v>
      </c>
      <c r="B64" s="26">
        <f>B59+B61+B62+B63</f>
        <v>-2790</v>
      </c>
      <c r="C64" s="26">
        <f t="shared" ref="C64:N64" si="27">C59+C61+C62+C63</f>
        <v>-2671</v>
      </c>
      <c r="D64" s="26">
        <f t="shared" si="27"/>
        <v>-2148</v>
      </c>
      <c r="E64" s="26">
        <f t="shared" si="27"/>
        <v>-4835</v>
      </c>
      <c r="F64" s="26">
        <f t="shared" si="27"/>
        <v>-5293</v>
      </c>
      <c r="G64" s="26">
        <f t="shared" si="27"/>
        <v>2491</v>
      </c>
      <c r="H64" s="26">
        <f t="shared" si="27"/>
        <v>-1459</v>
      </c>
      <c r="I64" s="26">
        <f t="shared" si="27"/>
        <v>-4836</v>
      </c>
      <c r="J64" s="26">
        <f t="shared" si="27"/>
        <v>-6796</v>
      </c>
      <c r="K64" s="26">
        <f t="shared" si="27"/>
        <v>-5221</v>
      </c>
      <c r="L64" s="26">
        <f t="shared" si="27"/>
        <v>-5221</v>
      </c>
      <c r="M64" s="26">
        <f t="shared" si="27"/>
        <v>-5221</v>
      </c>
      <c r="N64" s="26">
        <f t="shared" si="27"/>
        <v>-5221</v>
      </c>
    </row>
    <row r="65" spans="1:15" x14ac:dyDescent="0.2">
      <c r="A65" t="s">
        <v>191</v>
      </c>
      <c r="B65" s="3">
        <f>Historicals!B98</f>
        <v>-83</v>
      </c>
      <c r="C65" s="3">
        <f>Historicals!C98</f>
        <v>-105</v>
      </c>
      <c r="D65" s="3">
        <f>Historicals!D98</f>
        <v>-20</v>
      </c>
      <c r="E65" s="3">
        <f>Historicals!E98</f>
        <v>45</v>
      </c>
      <c r="F65" s="3">
        <f>Historicals!F98</f>
        <v>-129</v>
      </c>
      <c r="G65" s="3">
        <f>Historicals!G98</f>
        <v>-66</v>
      </c>
      <c r="H65" s="3">
        <f>Historicals!H98</f>
        <v>143</v>
      </c>
      <c r="I65" s="3">
        <f>Historicals!I98</f>
        <v>-143</v>
      </c>
      <c r="J65" s="3">
        <v>-91</v>
      </c>
      <c r="K65" s="3">
        <v>-16</v>
      </c>
      <c r="L65" s="3">
        <v>-16</v>
      </c>
      <c r="M65" s="3">
        <v>-16</v>
      </c>
      <c r="N65" s="3">
        <v>-16</v>
      </c>
    </row>
    <row r="66" spans="1:15" x14ac:dyDescent="0.2">
      <c r="A66" s="27" t="s">
        <v>192</v>
      </c>
      <c r="B66" s="26">
        <f>B55+B58+B64+B65</f>
        <v>1632</v>
      </c>
      <c r="C66" s="26">
        <f t="shared" ref="C66:N66" si="28">C55+C58+C64+C65</f>
        <v>-714</v>
      </c>
      <c r="D66" s="26">
        <f t="shared" si="28"/>
        <v>670</v>
      </c>
      <c r="E66" s="26">
        <f t="shared" si="28"/>
        <v>441</v>
      </c>
      <c r="F66" s="26">
        <f t="shared" si="28"/>
        <v>217</v>
      </c>
      <c r="G66" s="26">
        <f t="shared" si="28"/>
        <v>3882</v>
      </c>
      <c r="H66" s="26">
        <f t="shared" si="28"/>
        <v>1541</v>
      </c>
      <c r="I66" s="26">
        <f t="shared" si="28"/>
        <v>-1315</v>
      </c>
      <c r="J66" s="26">
        <f t="shared" si="28"/>
        <v>-1253</v>
      </c>
      <c r="K66" s="26">
        <f t="shared" si="28"/>
        <v>1357</v>
      </c>
      <c r="L66" s="26">
        <f t="shared" si="28"/>
        <v>1357</v>
      </c>
      <c r="M66" s="26">
        <f t="shared" si="28"/>
        <v>1357</v>
      </c>
      <c r="N66" s="26">
        <f t="shared" si="28"/>
        <v>1357</v>
      </c>
    </row>
    <row r="67" spans="1:15" x14ac:dyDescent="0.2">
      <c r="A67" t="s">
        <v>193</v>
      </c>
      <c r="B67" s="3">
        <f>Historicals!B100</f>
        <v>2220</v>
      </c>
      <c r="C67" s="3">
        <f>Historicals!C100</f>
        <v>3852</v>
      </c>
      <c r="D67" s="3">
        <f>Historicals!D100</f>
        <v>3138</v>
      </c>
      <c r="E67" s="3">
        <f>Historicals!E100</f>
        <v>3808</v>
      </c>
      <c r="F67" s="3">
        <f>Historicals!F100</f>
        <v>4249</v>
      </c>
      <c r="G67" s="3">
        <f>Historicals!G100</f>
        <v>4466</v>
      </c>
      <c r="H67" s="3">
        <f>Historicals!H100</f>
        <v>8348</v>
      </c>
      <c r="I67" s="3">
        <f>Historicals!I100</f>
        <v>9889</v>
      </c>
      <c r="J67" s="3">
        <v>8574</v>
      </c>
      <c r="K67" s="3">
        <v>7441</v>
      </c>
      <c r="L67" s="3">
        <v>7441</v>
      </c>
      <c r="M67" s="3">
        <v>7441</v>
      </c>
      <c r="N67" s="3">
        <v>7441</v>
      </c>
    </row>
    <row r="68" spans="1:15" ht="16" thickBot="1" x14ac:dyDescent="0.25">
      <c r="A68" s="6" t="s">
        <v>194</v>
      </c>
      <c r="B68" s="7">
        <f>SUM(B66:B67)</f>
        <v>3852</v>
      </c>
      <c r="C68" s="7">
        <f t="shared" ref="C68:N68" si="29">SUM(C66:C67)</f>
        <v>3138</v>
      </c>
      <c r="D68" s="7">
        <f t="shared" si="29"/>
        <v>3808</v>
      </c>
      <c r="E68" s="7">
        <f t="shared" si="29"/>
        <v>4249</v>
      </c>
      <c r="F68" s="7">
        <f t="shared" si="29"/>
        <v>4466</v>
      </c>
      <c r="G68" s="7">
        <f t="shared" si="29"/>
        <v>8348</v>
      </c>
      <c r="H68" s="7">
        <f t="shared" si="29"/>
        <v>9889</v>
      </c>
      <c r="I68" s="7">
        <f t="shared" si="29"/>
        <v>8574</v>
      </c>
      <c r="J68" s="7">
        <v>7441</v>
      </c>
      <c r="K68" s="7">
        <v>9860</v>
      </c>
      <c r="L68" s="7">
        <v>9860</v>
      </c>
      <c r="M68" s="7">
        <v>9860</v>
      </c>
      <c r="N68" s="7">
        <v>9860</v>
      </c>
    </row>
    <row r="69" spans="1:15" s="64" customFormat="1" ht="16" thickTop="1" x14ac:dyDescent="0.2">
      <c r="A69" s="59" t="s">
        <v>175</v>
      </c>
      <c r="B69" s="63">
        <f>+B68-B21</f>
        <v>0</v>
      </c>
      <c r="C69" s="63">
        <f t="shared" ref="C69:N69" si="30">+C68-C21</f>
        <v>0</v>
      </c>
      <c r="D69" s="63">
        <f t="shared" si="30"/>
        <v>0</v>
      </c>
      <c r="E69" s="63">
        <f t="shared" si="30"/>
        <v>0</v>
      </c>
      <c r="F69" s="63">
        <f t="shared" si="30"/>
        <v>0</v>
      </c>
      <c r="G69" s="63">
        <f t="shared" si="30"/>
        <v>0</v>
      </c>
      <c r="H69" s="63">
        <f t="shared" si="30"/>
        <v>0</v>
      </c>
      <c r="I69" s="63">
        <f t="shared" si="30"/>
        <v>0</v>
      </c>
      <c r="J69" s="63">
        <f t="shared" si="30"/>
        <v>0</v>
      </c>
      <c r="K69" s="63">
        <f t="shared" si="30"/>
        <v>0</v>
      </c>
      <c r="L69" s="63">
        <f t="shared" si="30"/>
        <v>0</v>
      </c>
      <c r="M69" s="63">
        <f t="shared" si="30"/>
        <v>0</v>
      </c>
      <c r="N69" s="63">
        <f t="shared" si="30"/>
        <v>0</v>
      </c>
    </row>
    <row r="70" spans="1:15" x14ac:dyDescent="0.2">
      <c r="A70" s="1" t="s">
        <v>195</v>
      </c>
      <c r="B70" s="48">
        <f>B22-B21</f>
        <v>-2666</v>
      </c>
      <c r="C70" s="48">
        <f t="shared" ref="C70:N70" si="31">C22-C21</f>
        <v>-1084</v>
      </c>
      <c r="D70" s="48">
        <f t="shared" si="31"/>
        <v>-331</v>
      </c>
      <c r="E70" s="48">
        <f t="shared" si="31"/>
        <v>-775</v>
      </c>
      <c r="F70" s="48">
        <f t="shared" si="31"/>
        <v>-996</v>
      </c>
      <c r="G70" s="48">
        <f t="shared" si="31"/>
        <v>1061</v>
      </c>
      <c r="H70" s="48">
        <f t="shared" si="31"/>
        <v>-476</v>
      </c>
      <c r="I70" s="48">
        <f t="shared" si="31"/>
        <v>846</v>
      </c>
      <c r="J70" s="48">
        <f t="shared" si="31"/>
        <v>1486</v>
      </c>
      <c r="K70" s="48">
        <f t="shared" si="31"/>
        <v>-957</v>
      </c>
      <c r="L70" s="48">
        <f t="shared" si="31"/>
        <v>-957</v>
      </c>
      <c r="M70" s="48">
        <f t="shared" si="31"/>
        <v>-957</v>
      </c>
      <c r="N70" s="48">
        <f t="shared" si="31"/>
        <v>-957</v>
      </c>
      <c r="O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2020-05-20T17:26:08Z</dcterms:created>
  <dcterms:modified xsi:type="dcterms:W3CDTF">2024-10-24T22:25:29Z</dcterms:modified>
</cp:coreProperties>
</file>