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Level 2 - Financial Modelling/Task 15 - CAPM formulas and PV calculations/"/>
    </mc:Choice>
  </mc:AlternateContent>
  <xr:revisionPtr revIDLastSave="0" documentId="13_ncr:1_{ED3D5F4F-C6BE-304B-8942-7BD06A024F99}" xr6:coauthVersionLast="47" xr6:coauthVersionMax="47" xr10:uidLastSave="{00000000-0000-0000-0000-000000000000}"/>
  <bookViews>
    <workbookView xWindow="4780" yWindow="920" windowWidth="26280" windowHeight="16980" activeTab="1" xr2:uid="{00000000-000D-0000-FFFF-FFFF00000000}"/>
  </bookViews>
  <sheets>
    <sheet name="Instructions" sheetId="2" r:id="rId1"/>
    <sheet name="Schedules" sheetId="8" r:id="rId2"/>
    <sheet name="Finalised model" sheetId="9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8" l="1"/>
  <c r="M17" i="8"/>
  <c r="N17" i="8"/>
  <c r="O17" i="8"/>
  <c r="P17" i="8"/>
  <c r="Q17" i="8"/>
  <c r="R17" i="8"/>
  <c r="S17" i="8"/>
  <c r="S24" i="8" s="1"/>
  <c r="S26" i="8" s="1"/>
  <c r="T17" i="8"/>
  <c r="U17" i="8"/>
  <c r="K17" i="8"/>
  <c r="C17" i="8"/>
  <c r="D17" i="8"/>
  <c r="E17" i="8"/>
  <c r="F17" i="8"/>
  <c r="G17" i="8"/>
  <c r="H17" i="8"/>
  <c r="I17" i="8"/>
  <c r="B17" i="8"/>
  <c r="I24" i="8"/>
  <c r="I26" i="8" s="1"/>
  <c r="I27" i="8" s="1"/>
  <c r="I28" i="8" s="1"/>
  <c r="O27" i="8"/>
  <c r="O28" i="8" s="1"/>
  <c r="C30" i="8"/>
  <c r="D30" i="8"/>
  <c r="E30" i="8"/>
  <c r="F30" i="8"/>
  <c r="G30" i="8"/>
  <c r="H30" i="8"/>
  <c r="I30" i="8"/>
  <c r="K30" i="8"/>
  <c r="L30" i="8"/>
  <c r="M30" i="8"/>
  <c r="N30" i="8"/>
  <c r="B30" i="8"/>
  <c r="K29" i="8"/>
  <c r="L29" i="8"/>
  <c r="M29" i="8"/>
  <c r="N29" i="8"/>
  <c r="O29" i="8"/>
  <c r="P29" i="8"/>
  <c r="Q29" i="8"/>
  <c r="R29" i="8"/>
  <c r="S29" i="8"/>
  <c r="T29" i="8"/>
  <c r="U29" i="8"/>
  <c r="C31" i="8"/>
  <c r="D31" i="8"/>
  <c r="E31" i="8"/>
  <c r="F31" i="8"/>
  <c r="G31" i="8"/>
  <c r="H31" i="8"/>
  <c r="I31" i="8"/>
  <c r="K31" i="8"/>
  <c r="L31" i="8"/>
  <c r="M31" i="8"/>
  <c r="N31" i="8"/>
  <c r="O31" i="8"/>
  <c r="P31" i="8"/>
  <c r="Q31" i="8"/>
  <c r="R31" i="8"/>
  <c r="S31" i="8"/>
  <c r="T31" i="8"/>
  <c r="U31" i="8"/>
  <c r="B31" i="8"/>
  <c r="C29" i="8"/>
  <c r="D29" i="8"/>
  <c r="E29" i="8"/>
  <c r="F29" i="8"/>
  <c r="G29" i="8"/>
  <c r="H29" i="8"/>
  <c r="I29" i="8"/>
  <c r="B29" i="8"/>
  <c r="U26" i="8"/>
  <c r="U27" i="8" s="1"/>
  <c r="O26" i="8"/>
  <c r="N26" i="8"/>
  <c r="N27" i="8" s="1"/>
  <c r="N28" i="8" s="1"/>
  <c r="M26" i="8"/>
  <c r="L24" i="8"/>
  <c r="L26" i="8" s="1"/>
  <c r="M24" i="8"/>
  <c r="N24" i="8"/>
  <c r="O24" i="8"/>
  <c r="P24" i="8"/>
  <c r="P26" i="8" s="1"/>
  <c r="P27" i="8" s="1"/>
  <c r="P28" i="8" s="1"/>
  <c r="Q24" i="8"/>
  <c r="Q26" i="8" s="1"/>
  <c r="R24" i="8"/>
  <c r="R26" i="8" s="1"/>
  <c r="T24" i="8"/>
  <c r="T26" i="8" s="1"/>
  <c r="U24" i="8"/>
  <c r="K24" i="8"/>
  <c r="K26" i="8" s="1"/>
  <c r="M23" i="8"/>
  <c r="N23" i="8"/>
  <c r="O23" i="8"/>
  <c r="P23" i="8"/>
  <c r="Q23" i="8"/>
  <c r="R23" i="8"/>
  <c r="S23" i="8"/>
  <c r="T23" i="8"/>
  <c r="U23" i="8"/>
  <c r="L23" i="8"/>
  <c r="K23" i="8"/>
  <c r="I23" i="8"/>
  <c r="H23" i="8"/>
  <c r="G23" i="8"/>
  <c r="F23" i="8"/>
  <c r="E23" i="8"/>
  <c r="D23" i="8"/>
  <c r="N70" i="9"/>
  <c r="M70" i="9"/>
  <c r="E70" i="9"/>
  <c r="N69" i="9"/>
  <c r="M69" i="9"/>
  <c r="L69" i="9"/>
  <c r="L70" i="9" s="1"/>
  <c r="K69" i="9"/>
  <c r="K70" i="9" s="1"/>
  <c r="J69" i="9"/>
  <c r="J70" i="9" s="1"/>
  <c r="E69" i="9"/>
  <c r="D69" i="9"/>
  <c r="D70" i="9" s="1"/>
  <c r="C69" i="9"/>
  <c r="C70" i="9" s="1"/>
  <c r="B69" i="9"/>
  <c r="B70" i="9" s="1"/>
  <c r="I68" i="9"/>
  <c r="H68" i="9"/>
  <c r="G68" i="9"/>
  <c r="F68" i="9"/>
  <c r="E68" i="9"/>
  <c r="D68" i="9"/>
  <c r="C68" i="9"/>
  <c r="B68" i="9"/>
  <c r="I66" i="9"/>
  <c r="H66" i="9"/>
  <c r="G66" i="9"/>
  <c r="F66" i="9"/>
  <c r="E66" i="9"/>
  <c r="D66" i="9"/>
  <c r="C66" i="9"/>
  <c r="B66" i="9"/>
  <c r="I64" i="9"/>
  <c r="H64" i="9"/>
  <c r="G64" i="9"/>
  <c r="F64" i="9"/>
  <c r="E64" i="9"/>
  <c r="D64" i="9"/>
  <c r="C64" i="9"/>
  <c r="B64" i="9"/>
  <c r="J63" i="9"/>
  <c r="I63" i="9"/>
  <c r="H63" i="9"/>
  <c r="G63" i="9"/>
  <c r="F63" i="9"/>
  <c r="E63" i="9"/>
  <c r="D63" i="9"/>
  <c r="C63" i="9"/>
  <c r="B63" i="9"/>
  <c r="I62" i="9"/>
  <c r="H62" i="9"/>
  <c r="G62" i="9"/>
  <c r="F62" i="9"/>
  <c r="E62" i="9"/>
  <c r="D62" i="9"/>
  <c r="C62" i="9"/>
  <c r="B62" i="9"/>
  <c r="K61" i="9"/>
  <c r="J61" i="9"/>
  <c r="I61" i="9"/>
  <c r="C61" i="9"/>
  <c r="B61" i="9"/>
  <c r="J60" i="9"/>
  <c r="I60" i="9"/>
  <c r="H60" i="9"/>
  <c r="G60" i="9"/>
  <c r="N59" i="9"/>
  <c r="N61" i="9" s="1"/>
  <c r="M59" i="9"/>
  <c r="M65" i="9" s="1"/>
  <c r="L59" i="9"/>
  <c r="L61" i="9" s="1"/>
  <c r="K59" i="9"/>
  <c r="K65" i="9" s="1"/>
  <c r="J59" i="9"/>
  <c r="J65" i="9" s="1"/>
  <c r="I59" i="9"/>
  <c r="I65" i="9" s="1"/>
  <c r="H59" i="9"/>
  <c r="H61" i="9" s="1"/>
  <c r="G59" i="9"/>
  <c r="G61" i="9" s="1"/>
  <c r="F59" i="9"/>
  <c r="F65" i="9" s="1"/>
  <c r="E59" i="9"/>
  <c r="E61" i="9" s="1"/>
  <c r="D59" i="9"/>
  <c r="D65" i="9" s="1"/>
  <c r="C59" i="9"/>
  <c r="C65" i="9" s="1"/>
  <c r="B59" i="9"/>
  <c r="B65" i="9" s="1"/>
  <c r="J58" i="9"/>
  <c r="J67" i="9" s="1"/>
  <c r="I58" i="9"/>
  <c r="I71" i="9" s="1"/>
  <c r="B58" i="9"/>
  <c r="B67" i="9" s="1"/>
  <c r="N57" i="9"/>
  <c r="M57" i="9"/>
  <c r="L57" i="9"/>
  <c r="K57" i="9"/>
  <c r="J57" i="9"/>
  <c r="I57" i="9"/>
  <c r="H57" i="9"/>
  <c r="H58" i="9" s="1"/>
  <c r="G57" i="9"/>
  <c r="F57" i="9"/>
  <c r="N56" i="9"/>
  <c r="N58" i="9" s="1"/>
  <c r="M56" i="9"/>
  <c r="M58" i="9" s="1"/>
  <c r="L56" i="9"/>
  <c r="L58" i="9" s="1"/>
  <c r="K56" i="9"/>
  <c r="K58" i="9" s="1"/>
  <c r="J56" i="9"/>
  <c r="I56" i="9"/>
  <c r="H56" i="9"/>
  <c r="G56" i="9"/>
  <c r="G58" i="9" s="1"/>
  <c r="F56" i="9"/>
  <c r="F58" i="9" s="1"/>
  <c r="E56" i="9"/>
  <c r="D56" i="9"/>
  <c r="C56" i="9"/>
  <c r="B56" i="9"/>
  <c r="I55" i="9"/>
  <c r="H55" i="9"/>
  <c r="G55" i="9"/>
  <c r="F55" i="9"/>
  <c r="E55" i="9"/>
  <c r="C55" i="9"/>
  <c r="B55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I49" i="9"/>
  <c r="I53" i="9" s="1"/>
  <c r="D49" i="9"/>
  <c r="D53" i="9" s="1"/>
  <c r="D55" i="9" s="1"/>
  <c r="C49" i="9"/>
  <c r="C53" i="9" s="1"/>
  <c r="B49" i="9"/>
  <c r="B53" i="9" s="1"/>
  <c r="I48" i="9"/>
  <c r="H48" i="9"/>
  <c r="G48" i="9"/>
  <c r="F48" i="9"/>
  <c r="E48" i="9"/>
  <c r="D48" i="9"/>
  <c r="C48" i="9"/>
  <c r="B48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N46" i="9"/>
  <c r="M46" i="9"/>
  <c r="L46" i="9"/>
  <c r="K46" i="9"/>
  <c r="J46" i="9"/>
  <c r="I46" i="9"/>
  <c r="H46" i="9"/>
  <c r="H49" i="9" s="1"/>
  <c r="H53" i="9" s="1"/>
  <c r="G46" i="9"/>
  <c r="G49" i="9" s="1"/>
  <c r="G53" i="9" s="1"/>
  <c r="F46" i="9"/>
  <c r="F49" i="9" s="1"/>
  <c r="F53" i="9" s="1"/>
  <c r="E46" i="9"/>
  <c r="E49" i="9" s="1"/>
  <c r="E53" i="9" s="1"/>
  <c r="D46" i="9"/>
  <c r="C46" i="9"/>
  <c r="B46" i="9"/>
  <c r="M44" i="9"/>
  <c r="M43" i="9"/>
  <c r="L43" i="9"/>
  <c r="K43" i="9"/>
  <c r="J43" i="9"/>
  <c r="I42" i="9"/>
  <c r="H42" i="9"/>
  <c r="G42" i="9"/>
  <c r="F42" i="9"/>
  <c r="E42" i="9"/>
  <c r="D42" i="9"/>
  <c r="C42" i="9"/>
  <c r="B42" i="9"/>
  <c r="I41" i="9"/>
  <c r="H41" i="9"/>
  <c r="G41" i="9"/>
  <c r="F41" i="9"/>
  <c r="F60" i="9" s="1"/>
  <c r="E41" i="9"/>
  <c r="E60" i="9" s="1"/>
  <c r="D41" i="9"/>
  <c r="D60" i="9" s="1"/>
  <c r="C41" i="9"/>
  <c r="C60" i="9" s="1"/>
  <c r="B41" i="9"/>
  <c r="B60" i="9" s="1"/>
  <c r="I40" i="9"/>
  <c r="H40" i="9"/>
  <c r="G40" i="9"/>
  <c r="F40" i="9"/>
  <c r="E40" i="9"/>
  <c r="D40" i="9"/>
  <c r="C40" i="9"/>
  <c r="B40" i="9"/>
  <c r="I39" i="9"/>
  <c r="H39" i="9"/>
  <c r="G39" i="9"/>
  <c r="F39" i="9"/>
  <c r="E39" i="9"/>
  <c r="D39" i="9"/>
  <c r="C39" i="9"/>
  <c r="B39" i="9"/>
  <c r="I38" i="9"/>
  <c r="H38" i="9"/>
  <c r="G38" i="9"/>
  <c r="F38" i="9"/>
  <c r="E38" i="9"/>
  <c r="D38" i="9"/>
  <c r="C38" i="9"/>
  <c r="B38" i="9"/>
  <c r="I37" i="9"/>
  <c r="H37" i="9"/>
  <c r="G37" i="9"/>
  <c r="F37" i="9"/>
  <c r="E37" i="9"/>
  <c r="D37" i="9"/>
  <c r="C37" i="9"/>
  <c r="B37" i="9"/>
  <c r="I36" i="9"/>
  <c r="H36" i="9"/>
  <c r="G36" i="9"/>
  <c r="F36" i="9"/>
  <c r="E36" i="9"/>
  <c r="E43" i="9" s="1"/>
  <c r="D36" i="9"/>
  <c r="D43" i="9" s="1"/>
  <c r="C36" i="9"/>
  <c r="C43" i="9" s="1"/>
  <c r="B36" i="9"/>
  <c r="B43" i="9" s="1"/>
  <c r="N35" i="9"/>
  <c r="N43" i="9" s="1"/>
  <c r="N44" i="9" s="1"/>
  <c r="M35" i="9"/>
  <c r="L35" i="9"/>
  <c r="K35" i="9"/>
  <c r="J35" i="9"/>
  <c r="I35" i="9"/>
  <c r="H35" i="9"/>
  <c r="G35" i="9"/>
  <c r="F35" i="9"/>
  <c r="E35" i="9"/>
  <c r="D35" i="9"/>
  <c r="C35" i="9"/>
  <c r="B35" i="9"/>
  <c r="I34" i="9"/>
  <c r="H34" i="9"/>
  <c r="G34" i="9"/>
  <c r="F34" i="9"/>
  <c r="E34" i="9"/>
  <c r="D34" i="9"/>
  <c r="C34" i="9"/>
  <c r="B34" i="9"/>
  <c r="I33" i="9"/>
  <c r="H33" i="9"/>
  <c r="G33" i="9"/>
  <c r="F33" i="9"/>
  <c r="F43" i="9" s="1"/>
  <c r="E33" i="9"/>
  <c r="D33" i="9"/>
  <c r="C33" i="9"/>
  <c r="B33" i="9"/>
  <c r="I32" i="9"/>
  <c r="I43" i="9" s="1"/>
  <c r="H32" i="9"/>
  <c r="H43" i="9" s="1"/>
  <c r="G32" i="9"/>
  <c r="G43" i="9" s="1"/>
  <c r="F32" i="9"/>
  <c r="E32" i="9"/>
  <c r="D32" i="9"/>
  <c r="C32" i="9"/>
  <c r="B32" i="9"/>
  <c r="N31" i="9"/>
  <c r="M31" i="9"/>
  <c r="L31" i="9"/>
  <c r="L44" i="9" s="1"/>
  <c r="I30" i="9"/>
  <c r="H30" i="9"/>
  <c r="G30" i="9"/>
  <c r="F30" i="9"/>
  <c r="E30" i="9"/>
  <c r="E57" i="9" s="1"/>
  <c r="D30" i="9"/>
  <c r="D57" i="9" s="1"/>
  <c r="C30" i="9"/>
  <c r="C57" i="9" s="1"/>
  <c r="B30" i="9"/>
  <c r="B57" i="9" s="1"/>
  <c r="I29" i="9"/>
  <c r="H29" i="9"/>
  <c r="G29" i="9"/>
  <c r="F29" i="9"/>
  <c r="E29" i="9"/>
  <c r="D29" i="9"/>
  <c r="C29" i="9"/>
  <c r="B29" i="9"/>
  <c r="I28" i="9"/>
  <c r="H28" i="9"/>
  <c r="G28" i="9"/>
  <c r="F28" i="9"/>
  <c r="E28" i="9"/>
  <c r="D28" i="9"/>
  <c r="C28" i="9"/>
  <c r="B28" i="9"/>
  <c r="I27" i="9"/>
  <c r="H27" i="9"/>
  <c r="G27" i="9"/>
  <c r="F27" i="9"/>
  <c r="E27" i="9"/>
  <c r="D27" i="9"/>
  <c r="C27" i="9"/>
  <c r="B27" i="9"/>
  <c r="I26" i="9"/>
  <c r="H26" i="9"/>
  <c r="G26" i="9"/>
  <c r="F26" i="9"/>
  <c r="F31" i="9" s="1"/>
  <c r="F44" i="9" s="1"/>
  <c r="E26" i="9"/>
  <c r="E31" i="9" s="1"/>
  <c r="D26" i="9"/>
  <c r="D31" i="9" s="1"/>
  <c r="D44" i="9" s="1"/>
  <c r="C26" i="9"/>
  <c r="B26" i="9"/>
  <c r="N25" i="9"/>
  <c r="M25" i="9"/>
  <c r="L25" i="9"/>
  <c r="K25" i="9"/>
  <c r="K31" i="9" s="1"/>
  <c r="K44" i="9" s="1"/>
  <c r="J25" i="9"/>
  <c r="J31" i="9" s="1"/>
  <c r="J44" i="9" s="1"/>
  <c r="I25" i="9"/>
  <c r="H25" i="9"/>
  <c r="G25" i="9"/>
  <c r="F25" i="9"/>
  <c r="E25" i="9"/>
  <c r="D25" i="9"/>
  <c r="C25" i="9"/>
  <c r="C31" i="9" s="1"/>
  <c r="C44" i="9" s="1"/>
  <c r="B25" i="9"/>
  <c r="N24" i="9"/>
  <c r="I24" i="9"/>
  <c r="H24" i="9"/>
  <c r="G24" i="9"/>
  <c r="F24" i="9"/>
  <c r="N23" i="9"/>
  <c r="M23" i="9"/>
  <c r="M24" i="9" s="1"/>
  <c r="L23" i="9"/>
  <c r="L24" i="9" s="1"/>
  <c r="K23" i="9"/>
  <c r="K24" i="9" s="1"/>
  <c r="J23" i="9"/>
  <c r="J24" i="9" s="1"/>
  <c r="I23" i="9"/>
  <c r="H23" i="9"/>
  <c r="G23" i="9"/>
  <c r="F23" i="9"/>
  <c r="E23" i="9"/>
  <c r="E24" i="9" s="1"/>
  <c r="D23" i="9"/>
  <c r="D24" i="9" s="1"/>
  <c r="C23" i="9"/>
  <c r="C24" i="9" s="1"/>
  <c r="B23" i="9"/>
  <c r="B24" i="9" s="1"/>
  <c r="N22" i="9"/>
  <c r="M22" i="9"/>
  <c r="L22" i="9"/>
  <c r="K22" i="9"/>
  <c r="I22" i="9"/>
  <c r="H22" i="9"/>
  <c r="G22" i="9"/>
  <c r="F22" i="9"/>
  <c r="E22" i="9"/>
  <c r="D22" i="9"/>
  <c r="C22" i="9"/>
  <c r="B22" i="9"/>
  <c r="I21" i="9"/>
  <c r="I31" i="9" s="1"/>
  <c r="I44" i="9" s="1"/>
  <c r="H21" i="9"/>
  <c r="H69" i="9" s="1"/>
  <c r="H70" i="9" s="1"/>
  <c r="G21" i="9"/>
  <c r="G69" i="9" s="1"/>
  <c r="G70" i="9" s="1"/>
  <c r="F21" i="9"/>
  <c r="F69" i="9" s="1"/>
  <c r="F70" i="9" s="1"/>
  <c r="E21" i="9"/>
  <c r="D21" i="9"/>
  <c r="C21" i="9"/>
  <c r="B21" i="9"/>
  <c r="B31" i="9" s="1"/>
  <c r="B44" i="9" s="1"/>
  <c r="L18" i="9"/>
  <c r="K18" i="9"/>
  <c r="J18" i="9"/>
  <c r="I18" i="9"/>
  <c r="D18" i="9"/>
  <c r="C18" i="9"/>
  <c r="B18" i="9"/>
  <c r="N17" i="9"/>
  <c r="N18" i="9" s="1"/>
  <c r="M17" i="9"/>
  <c r="M18" i="9" s="1"/>
  <c r="L17" i="9"/>
  <c r="K17" i="9"/>
  <c r="J17" i="9"/>
  <c r="I17" i="9"/>
  <c r="H17" i="9"/>
  <c r="G17" i="9"/>
  <c r="G18" i="9" s="1"/>
  <c r="F17" i="9"/>
  <c r="F19" i="9" s="1"/>
  <c r="E17" i="9"/>
  <c r="E18" i="9" s="1"/>
  <c r="D17" i="9"/>
  <c r="C17" i="9"/>
  <c r="B17" i="9"/>
  <c r="I16" i="9"/>
  <c r="H16" i="9"/>
  <c r="G16" i="9"/>
  <c r="F16" i="9"/>
  <c r="E16" i="9"/>
  <c r="D16" i="9"/>
  <c r="C16" i="9"/>
  <c r="K15" i="9"/>
  <c r="L15" i="9" s="1"/>
  <c r="J15" i="9"/>
  <c r="I15" i="9"/>
  <c r="H15" i="9"/>
  <c r="G15" i="9"/>
  <c r="F15" i="9"/>
  <c r="E15" i="9"/>
  <c r="D15" i="9"/>
  <c r="C15" i="9"/>
  <c r="B15" i="9"/>
  <c r="M13" i="9"/>
  <c r="M48" i="9" s="1"/>
  <c r="I12" i="9"/>
  <c r="H12" i="9"/>
  <c r="G12" i="9"/>
  <c r="G13" i="9" s="1"/>
  <c r="F12" i="9"/>
  <c r="F13" i="9" s="1"/>
  <c r="E12" i="9"/>
  <c r="E13" i="9" s="1"/>
  <c r="D12" i="9"/>
  <c r="C12" i="9"/>
  <c r="B12" i="9"/>
  <c r="M11" i="9"/>
  <c r="M14" i="9" s="1"/>
  <c r="L11" i="9"/>
  <c r="L14" i="9" s="1"/>
  <c r="K11" i="9"/>
  <c r="K13" i="9" s="1"/>
  <c r="J11" i="9"/>
  <c r="J13" i="9" s="1"/>
  <c r="I10" i="9"/>
  <c r="H10" i="9"/>
  <c r="G10" i="9"/>
  <c r="F10" i="9"/>
  <c r="E10" i="9"/>
  <c r="E11" i="9" s="1"/>
  <c r="E14" i="9" s="1"/>
  <c r="E19" i="9" s="1"/>
  <c r="D10" i="9"/>
  <c r="D11" i="9" s="1"/>
  <c r="D14" i="9" s="1"/>
  <c r="D19" i="9" s="1"/>
  <c r="C10" i="9"/>
  <c r="C11" i="9" s="1"/>
  <c r="C14" i="9" s="1"/>
  <c r="B10" i="9"/>
  <c r="B11" i="9" s="1"/>
  <c r="B14" i="9" s="1"/>
  <c r="B16" i="9" s="1"/>
  <c r="N9" i="9"/>
  <c r="M9" i="9"/>
  <c r="L9" i="9"/>
  <c r="K9" i="9"/>
  <c r="J9" i="9"/>
  <c r="I9" i="9"/>
  <c r="H9" i="9"/>
  <c r="G9" i="9"/>
  <c r="F9" i="9"/>
  <c r="E9" i="9"/>
  <c r="D9" i="9"/>
  <c r="C9" i="9"/>
  <c r="B9" i="9"/>
  <c r="N8" i="9"/>
  <c r="M8" i="9"/>
  <c r="L8" i="9"/>
  <c r="K8" i="9"/>
  <c r="J8" i="9"/>
  <c r="I8" i="9"/>
  <c r="H8" i="9"/>
  <c r="G8" i="9"/>
  <c r="F8" i="9"/>
  <c r="E8" i="9"/>
  <c r="D8" i="9"/>
  <c r="C8" i="9"/>
  <c r="B8" i="9"/>
  <c r="N7" i="9"/>
  <c r="N11" i="9" s="1"/>
  <c r="M7" i="9"/>
  <c r="L7" i="9"/>
  <c r="K7" i="9"/>
  <c r="J7" i="9"/>
  <c r="I7" i="9"/>
  <c r="I11" i="9" s="1"/>
  <c r="I14" i="9" s="1"/>
  <c r="H7" i="9"/>
  <c r="H11" i="9" s="1"/>
  <c r="H14" i="9" s="1"/>
  <c r="G7" i="9"/>
  <c r="G11" i="9" s="1"/>
  <c r="G14" i="9" s="1"/>
  <c r="F7" i="9"/>
  <c r="F11" i="9" s="1"/>
  <c r="F14" i="9" s="1"/>
  <c r="E7" i="9"/>
  <c r="D7" i="9"/>
  <c r="C7" i="9"/>
  <c r="B7" i="9"/>
  <c r="N6" i="9"/>
  <c r="M6" i="9"/>
  <c r="L6" i="9"/>
  <c r="K6" i="9"/>
  <c r="J6" i="9"/>
  <c r="I6" i="9"/>
  <c r="H6" i="9"/>
  <c r="G6" i="9"/>
  <c r="F6" i="9"/>
  <c r="E6" i="9"/>
  <c r="D6" i="9"/>
  <c r="C6" i="9"/>
  <c r="B6" i="9"/>
  <c r="N5" i="9"/>
  <c r="M5" i="9"/>
  <c r="L5" i="9"/>
  <c r="K5" i="9"/>
  <c r="J5" i="9"/>
  <c r="I5" i="9"/>
  <c r="H5" i="9"/>
  <c r="G5" i="9"/>
  <c r="F5" i="9"/>
  <c r="E5" i="9"/>
  <c r="D5" i="9"/>
  <c r="C5" i="9"/>
  <c r="B5" i="9"/>
  <c r="N4" i="9"/>
  <c r="M4" i="9"/>
  <c r="L4" i="9"/>
  <c r="K4" i="9"/>
  <c r="J4" i="9"/>
  <c r="I4" i="9"/>
  <c r="H4" i="9"/>
  <c r="G4" i="9"/>
  <c r="F4" i="9"/>
  <c r="E4" i="9"/>
  <c r="D4" i="9"/>
  <c r="C4" i="9"/>
  <c r="B4" i="9"/>
  <c r="N3" i="9"/>
  <c r="M3" i="9"/>
  <c r="L3" i="9"/>
  <c r="K3" i="9"/>
  <c r="J3" i="9"/>
  <c r="I3" i="9"/>
  <c r="H3" i="9"/>
  <c r="G3" i="9"/>
  <c r="F3" i="9"/>
  <c r="E3" i="9"/>
  <c r="D3" i="9"/>
  <c r="C3" i="9"/>
  <c r="B3" i="9"/>
  <c r="J1" i="9"/>
  <c r="K1" i="9" s="1"/>
  <c r="L1" i="9" s="1"/>
  <c r="M1" i="9" s="1"/>
  <c r="N1" i="9" s="1"/>
  <c r="H1" i="9"/>
  <c r="G1" i="9" s="1"/>
  <c r="F1" i="9" s="1"/>
  <c r="E1" i="9" s="1"/>
  <c r="D1" i="9" s="1"/>
  <c r="C1" i="9" s="1"/>
  <c r="B1" i="9" s="1"/>
  <c r="C23" i="8"/>
  <c r="B23" i="8"/>
  <c r="M22" i="8"/>
  <c r="N22" i="8"/>
  <c r="O22" i="8"/>
  <c r="P22" i="8"/>
  <c r="Q22" i="8"/>
  <c r="R22" i="8"/>
  <c r="S22" i="8"/>
  <c r="T22" i="8"/>
  <c r="U22" i="8"/>
  <c r="L22" i="8"/>
  <c r="K22" i="8"/>
  <c r="I22" i="8"/>
  <c r="H22" i="8"/>
  <c r="G22" i="8"/>
  <c r="F22" i="8"/>
  <c r="E22" i="8"/>
  <c r="D22" i="8"/>
  <c r="C22" i="8"/>
  <c r="B22" i="8"/>
  <c r="L19" i="8"/>
  <c r="M19" i="8"/>
  <c r="N19" i="8"/>
  <c r="O19" i="8"/>
  <c r="P19" i="8"/>
  <c r="Q19" i="8"/>
  <c r="R19" i="8"/>
  <c r="S19" i="8"/>
  <c r="T19" i="8"/>
  <c r="U19" i="8"/>
  <c r="K19" i="8"/>
  <c r="C19" i="8"/>
  <c r="D19" i="8"/>
  <c r="E19" i="8"/>
  <c r="F19" i="8"/>
  <c r="G19" i="8"/>
  <c r="H19" i="8"/>
  <c r="I19" i="8"/>
  <c r="B19" i="8"/>
  <c r="U15" i="8"/>
  <c r="M15" i="8"/>
  <c r="N15" i="8" s="1"/>
  <c r="O15" i="8" s="1"/>
  <c r="P15" i="8" s="1"/>
  <c r="Q15" i="8" s="1"/>
  <c r="R15" i="8" s="1"/>
  <c r="S15" i="8" s="1"/>
  <c r="T15" i="8" s="1"/>
  <c r="L15" i="8"/>
  <c r="C16" i="8"/>
  <c r="D16" i="8"/>
  <c r="E16" i="8"/>
  <c r="F16" i="8"/>
  <c r="G16" i="8"/>
  <c r="H16" i="8"/>
  <c r="I16" i="8"/>
  <c r="B16" i="8"/>
  <c r="L27" i="8" l="1"/>
  <c r="L28" i="8" s="1"/>
  <c r="T27" i="8"/>
  <c r="T28" i="8" s="1"/>
  <c r="R27" i="8"/>
  <c r="R28" i="8" s="1"/>
  <c r="S28" i="8"/>
  <c r="S27" i="8"/>
  <c r="Q27" i="8"/>
  <c r="Q28" i="8" s="1"/>
  <c r="U28" i="8"/>
  <c r="M27" i="8"/>
  <c r="M28" i="8" s="1"/>
  <c r="K27" i="8"/>
  <c r="K28" i="8"/>
  <c r="F71" i="9"/>
  <c r="G71" i="9"/>
  <c r="G67" i="9"/>
  <c r="B13" i="9"/>
  <c r="H19" i="9"/>
  <c r="C58" i="9"/>
  <c r="K67" i="9"/>
  <c r="K71" i="9"/>
  <c r="N14" i="9"/>
  <c r="N13" i="9"/>
  <c r="N48" i="9" s="1"/>
  <c r="N49" i="9" s="1"/>
  <c r="N53" i="9" s="1"/>
  <c r="C13" i="9"/>
  <c r="I19" i="9"/>
  <c r="M49" i="9"/>
  <c r="M53" i="9" s="1"/>
  <c r="C71" i="9"/>
  <c r="D58" i="9"/>
  <c r="D67" i="9" s="1"/>
  <c r="L67" i="9"/>
  <c r="L71" i="9"/>
  <c r="E44" i="9"/>
  <c r="H13" i="9"/>
  <c r="J48" i="9"/>
  <c r="J49" i="9" s="1"/>
  <c r="J53" i="9" s="1"/>
  <c r="I13" i="9"/>
  <c r="K48" i="9"/>
  <c r="K49" i="9" s="1"/>
  <c r="K53" i="9" s="1"/>
  <c r="D13" i="9"/>
  <c r="C19" i="9"/>
  <c r="M15" i="9"/>
  <c r="L60" i="9"/>
  <c r="L19" i="9"/>
  <c r="B19" i="9"/>
  <c r="D71" i="9"/>
  <c r="E58" i="9"/>
  <c r="E71" i="9" s="1"/>
  <c r="M67" i="9"/>
  <c r="M71" i="9"/>
  <c r="E65" i="9"/>
  <c r="J14" i="9"/>
  <c r="J19" i="9" s="1"/>
  <c r="D61" i="9"/>
  <c r="I67" i="9"/>
  <c r="G19" i="9"/>
  <c r="G31" i="9"/>
  <c r="G44" i="9" s="1"/>
  <c r="L13" i="9"/>
  <c r="L48" i="9" s="1"/>
  <c r="L49" i="9" s="1"/>
  <c r="L53" i="9" s="1"/>
  <c r="H18" i="9"/>
  <c r="F67" i="9"/>
  <c r="I69" i="9"/>
  <c r="I70" i="9" s="1"/>
  <c r="J71" i="9"/>
  <c r="N65" i="9"/>
  <c r="N71" i="9" s="1"/>
  <c r="M61" i="9"/>
  <c r="G65" i="9"/>
  <c r="H31" i="9"/>
  <c r="H44" i="9" s="1"/>
  <c r="K60" i="9"/>
  <c r="F61" i="9"/>
  <c r="H65" i="9"/>
  <c r="H67" i="9" s="1"/>
  <c r="C67" i="9"/>
  <c r="B71" i="9"/>
  <c r="F18" i="9"/>
  <c r="L65" i="9"/>
  <c r="K14" i="9"/>
  <c r="K19" i="9" s="1"/>
  <c r="U11" i="8"/>
  <c r="U10" i="8"/>
  <c r="U9" i="8"/>
  <c r="U8" i="8"/>
  <c r="U7" i="8"/>
  <c r="U6" i="8"/>
  <c r="U5" i="8"/>
  <c r="U4" i="8"/>
  <c r="U3" i="8"/>
  <c r="P11" i="8"/>
  <c r="Q11" i="8"/>
  <c r="R11" i="8"/>
  <c r="S11" i="8"/>
  <c r="T11" i="8"/>
  <c r="O11" i="8"/>
  <c r="N11" i="8"/>
  <c r="M11" i="8"/>
  <c r="L11" i="8"/>
  <c r="K11" i="8"/>
  <c r="M10" i="8"/>
  <c r="N10" i="8"/>
  <c r="O10" i="8"/>
  <c r="P10" i="8"/>
  <c r="Q10" i="8"/>
  <c r="R10" i="8"/>
  <c r="S10" i="8"/>
  <c r="T10" i="8"/>
  <c r="L10" i="8"/>
  <c r="K10" i="8"/>
  <c r="I10" i="8"/>
  <c r="H10" i="8"/>
  <c r="G10" i="8"/>
  <c r="F10" i="8"/>
  <c r="E10" i="8"/>
  <c r="D10" i="8"/>
  <c r="C10" i="8"/>
  <c r="B10" i="8"/>
  <c r="Q9" i="8"/>
  <c r="R9" i="8"/>
  <c r="S9" i="8"/>
  <c r="T9" i="8"/>
  <c r="M9" i="8"/>
  <c r="N9" i="8"/>
  <c r="O9" i="8"/>
  <c r="P9" i="8"/>
  <c r="L9" i="8"/>
  <c r="K9" i="8"/>
  <c r="I9" i="8"/>
  <c r="H9" i="8"/>
  <c r="G9" i="8"/>
  <c r="F9" i="8"/>
  <c r="E9" i="8"/>
  <c r="D9" i="8"/>
  <c r="C9" i="8"/>
  <c r="B9" i="8"/>
  <c r="L7" i="8"/>
  <c r="K7" i="8"/>
  <c r="N6" i="8"/>
  <c r="O6" i="8"/>
  <c r="P6" i="8"/>
  <c r="Q6" i="8"/>
  <c r="R6" i="8"/>
  <c r="S6" i="8"/>
  <c r="T6" i="8"/>
  <c r="M6" i="8"/>
  <c r="L6" i="8"/>
  <c r="K6" i="8"/>
  <c r="I6" i="8"/>
  <c r="H6" i="8"/>
  <c r="G6" i="8"/>
  <c r="F6" i="8"/>
  <c r="E6" i="8"/>
  <c r="D6" i="8"/>
  <c r="C6" i="8"/>
  <c r="B6" i="8"/>
  <c r="O5" i="8"/>
  <c r="P5" i="8"/>
  <c r="Q5" i="8"/>
  <c r="R5" i="8"/>
  <c r="S5" i="8"/>
  <c r="T5" i="8"/>
  <c r="N5" i="8"/>
  <c r="M5" i="8"/>
  <c r="L5" i="8"/>
  <c r="K5" i="8"/>
  <c r="I5" i="8"/>
  <c r="H5" i="8"/>
  <c r="G5" i="8"/>
  <c r="F5" i="8"/>
  <c r="E5" i="8"/>
  <c r="C5" i="8"/>
  <c r="B5" i="8"/>
  <c r="D5" i="8"/>
  <c r="O4" i="8"/>
  <c r="O7" i="8" s="1"/>
  <c r="N4" i="8"/>
  <c r="N7" i="8" s="1"/>
  <c r="M4" i="8"/>
  <c r="M8" i="8" s="1"/>
  <c r="L4" i="8"/>
  <c r="L8" i="8" s="1"/>
  <c r="K4" i="8"/>
  <c r="K8" i="8" s="1"/>
  <c r="I4" i="8"/>
  <c r="I8" i="8" s="1"/>
  <c r="H4" i="8"/>
  <c r="H8" i="8" s="1"/>
  <c r="G4" i="8"/>
  <c r="G7" i="8" s="1"/>
  <c r="F4" i="8"/>
  <c r="F7" i="8" s="1"/>
  <c r="E4" i="8"/>
  <c r="E7" i="8" s="1"/>
  <c r="D4" i="8"/>
  <c r="D8" i="8" s="1"/>
  <c r="C4" i="8"/>
  <c r="C8" i="8" s="1"/>
  <c r="B4" i="8"/>
  <c r="B8" i="8" s="1"/>
  <c r="H71" i="9" l="1"/>
  <c r="E67" i="9"/>
  <c r="M60" i="9"/>
  <c r="N15" i="9"/>
  <c r="M19" i="9"/>
  <c r="N67" i="9"/>
  <c r="H7" i="8"/>
  <c r="I7" i="8"/>
  <c r="B7" i="8"/>
  <c r="C7" i="8"/>
  <c r="G8" i="8"/>
  <c r="E8" i="8"/>
  <c r="N8" i="8"/>
  <c r="F8" i="8"/>
  <c r="O8" i="8"/>
  <c r="P4" i="8"/>
  <c r="D7" i="8"/>
  <c r="M7" i="8"/>
  <c r="N60" i="9" l="1"/>
  <c r="N19" i="9"/>
  <c r="P7" i="8"/>
  <c r="P8" i="8"/>
  <c r="Q4" i="8"/>
  <c r="R4" i="8" l="1"/>
  <c r="Q7" i="8"/>
  <c r="Q8" i="8"/>
  <c r="S4" i="8" l="1"/>
  <c r="R8" i="8"/>
  <c r="R7" i="8"/>
  <c r="T4" i="8" l="1"/>
  <c r="S8" i="8"/>
  <c r="S7" i="8"/>
  <c r="T8" i="8" l="1"/>
  <c r="T7" i="8"/>
  <c r="M3" i="8" l="1"/>
  <c r="N3" i="8"/>
  <c r="O3" i="8"/>
  <c r="P3" i="8"/>
  <c r="Q3" i="8"/>
  <c r="R3" i="8"/>
  <c r="S3" i="8"/>
  <c r="T3" i="8"/>
  <c r="L3" i="8"/>
  <c r="K3" i="8"/>
  <c r="I3" i="8"/>
  <c r="H3" i="8"/>
  <c r="G3" i="8"/>
  <c r="F3" i="8"/>
  <c r="E3" i="8"/>
  <c r="D3" i="8"/>
  <c r="C3" i="8"/>
  <c r="B3" i="8"/>
  <c r="C1" i="8"/>
  <c r="D1" i="8" s="1"/>
  <c r="E1" i="8" s="1"/>
  <c r="F1" i="8" s="1"/>
  <c r="G1" i="8" s="1"/>
  <c r="H1" i="8" s="1"/>
  <c r="I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C24" i="8"/>
  <c r="C26" i="8" s="1"/>
  <c r="G24" i="8"/>
  <c r="G26" i="8" s="1"/>
  <c r="G27" i="8" s="1"/>
  <c r="E24" i="8"/>
  <c r="E26" i="8" s="1"/>
  <c r="F24" i="8"/>
  <c r="F26" i="8" s="1"/>
  <c r="D24" i="8"/>
  <c r="D26" i="8" s="1"/>
  <c r="H24" i="8"/>
  <c r="H26" i="8" s="1"/>
  <c r="F27" i="8" l="1"/>
  <c r="F28" i="8" s="1"/>
  <c r="E27" i="8"/>
  <c r="E28" i="8" s="1"/>
  <c r="C27" i="8"/>
  <c r="C28" i="8" s="1"/>
  <c r="D27" i="8"/>
  <c r="D28" i="8" s="1"/>
  <c r="H27" i="8"/>
  <c r="H28" i="8" s="1"/>
  <c r="G28" i="8"/>
  <c r="B24" i="8"/>
  <c r="B26" i="8" s="1"/>
  <c r="B27" i="8" l="1"/>
  <c r="B28" i="8"/>
</calcChain>
</file>

<file path=xl/sharedStrings.xml><?xml version="1.0" encoding="utf-8"?>
<sst xmlns="http://schemas.openxmlformats.org/spreadsheetml/2006/main" count="119" uniqueCount="110">
  <si>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</si>
  <si>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</si>
  <si>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</si>
  <si>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</si>
  <si>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</si>
  <si>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</si>
  <si>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</si>
  <si>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</si>
  <si>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</si>
  <si>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</si>
  <si>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</si>
  <si>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</si>
  <si>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</si>
  <si>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</si>
  <si>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</si>
  <si>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</si>
  <si>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Equity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</si>
  <si>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</si>
  <si>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</si>
  <si>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</si>
  <si>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</si>
  <si>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</si>
  <si>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</si>
  <si>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</si>
  <si>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</si>
  <si>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</si>
  <si>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</si>
  <si>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</si>
  <si>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</si>
  <si>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</si>
  <si>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</si>
  <si>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</si>
  <si>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</si>
  <si>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</si>
  <si>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</si>
  <si>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</si>
  <si>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</si>
  <si>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</si>
  <si>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</si>
  <si>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</si>
  <si>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</si>
  <si>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</si>
  <si>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</si>
  <si>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</si>
  <si>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</si>
  <si>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Comments</t>
  </si>
  <si>
    <t>Income Statement</t>
  </si>
  <si>
    <t>Revenue</t>
  </si>
  <si>
    <t>EBTDA</t>
  </si>
  <si>
    <t>D&amp;A</t>
  </si>
  <si>
    <t>EBIT</t>
  </si>
  <si>
    <t>Margin %</t>
  </si>
  <si>
    <t>Interest expense (income), net</t>
  </si>
  <si>
    <t>PBT</t>
  </si>
  <si>
    <t>Income tax expense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</si>
  <si>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</si>
  <si>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</si>
  <si>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</si>
  <si>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</si>
  <si>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</si>
  <si>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</si>
  <si>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</si>
  <si>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</si>
  <si>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</si>
  <si>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</si>
  <si>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</si>
  <si>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</si>
  <si>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</si>
  <si>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</si>
  <si>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Goodwill</t>
  </si>
  <si>
    <t>Operating lease right-of-use assets, net</t>
  </si>
  <si>
    <t>Other Assets</t>
  </si>
  <si>
    <t>Total Assets</t>
  </si>
  <si>
    <t>Current Borrowings</t>
  </si>
  <si>
    <t>Current portion of long-term debt</t>
  </si>
  <si>
    <t>Notes payable</t>
  </si>
  <si>
    <t>Other Current Liabilities</t>
  </si>
  <si>
    <t>Long-term debt</t>
  </si>
  <si>
    <t>Operating lease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</si>
  <si>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</si>
  <si>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</si>
  <si>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</si>
  <si>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</si>
  <si>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</si>
  <si>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</si>
  <si>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</si>
  <si>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</si>
  <si>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</si>
  <si>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</si>
  <si>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</si>
  <si>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</si>
  <si>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Capex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</si>
  <si>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</si>
  <si>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</si>
  <si>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</si>
  <si>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</si>
  <si>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</si>
  <si>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</si>
  <si>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</si>
  <si>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Share buyback amount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</si>
  <si>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</si>
  <si>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</si>
  <si>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</si>
  <si>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</si>
  <si>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</si>
  <si>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</si>
  <si>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</si>
  <si>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</si>
  <si>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</si>
  <si>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1 year Average share price - Sourced from Yahoo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</si>
</sst>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_);[Red]\(&quot;$&quot;#,##0.00\)"/>
    <numFmt numFmtId="165" formatCode="_(* #,##0_);_(* \(#,##0\);_(* &quot;-&quot;??_);_(@_)"/>
    <numFmt numFmtId="166" formatCode="0.0%"/>
    <numFmt numFmtId="167" formatCode="0.000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  <family val="2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6" fillId="0" borderId="0" xfId="0" applyFont="1"/>
    <xf numFmtId="10" fontId="6" fillId="0" borderId="0" xfId="1" applyNumberFormat="1" applyFont="1" applyBorder="1" applyAlignment="1">
      <alignment horizontal="right"/>
    </xf>
    <xf numFmtId="10" fontId="5" fillId="0" borderId="0" xfId="2" applyNumberFormat="1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" fillId="4" borderId="0" xfId="0" applyFont="1" applyFill="1" applyAlignment="1">
      <alignment horizontal="right" wrapText="1"/>
    </xf>
    <xf numFmtId="0" fontId="0" fillId="5" borderId="0" xfId="0" applyFill="1"/>
    <xf numFmtId="43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wrapText="1"/>
    </xf>
    <xf numFmtId="43" fontId="0" fillId="0" borderId="0" xfId="1" applyFont="1" applyFill="1"/>
    <xf numFmtId="167" fontId="0" fillId="0" borderId="0" xfId="0" applyNumberFormat="1"/>
    <xf numFmtId="2" fontId="0" fillId="0" borderId="0" xfId="0" applyNumberFormat="1"/>
    <xf numFmtId="165" fontId="0" fillId="0" borderId="7" xfId="1" applyNumberFormat="1" applyFont="1" applyBorder="1"/>
    <xf numFmtId="43" fontId="0" fillId="0" borderId="7" xfId="1" applyFont="1" applyBorder="1"/>
    <xf numFmtId="43" fontId="0" fillId="0" borderId="0" xfId="1" applyFont="1"/>
    <xf numFmtId="168" fontId="0" fillId="0" borderId="0" xfId="1" applyNumberFormat="1" applyFont="1"/>
    <xf numFmtId="167" fontId="0" fillId="0" borderId="0" xfId="2" applyNumberFormat="1" applyFont="1"/>
    <xf numFmtId="10" fontId="0" fillId="0" borderId="0" xfId="2" applyNumberFormat="1" applyFont="1"/>
    <xf numFmtId="10" fontId="0" fillId="0" borderId="0" xfId="0" applyNumberFormat="1"/>
    <xf numFmtId="10" fontId="0" fillId="0" borderId="0" xfId="2" applyNumberFormat="1" applyFont="1" applyFill="1"/>
    <xf numFmtId="10" fontId="0" fillId="0" borderId="0" xfId="0" applyNumberFormat="1" applyAlignment="1">
      <alignment horizontal="left" indent="1"/>
    </xf>
    <xf numFmtId="10" fontId="9" fillId="0" borderId="0" xfId="7" applyNumberFormat="1" applyAlignment="1">
      <alignment horizontal="left" indent="1"/>
    </xf>
    <xf numFmtId="2" fontId="0" fillId="0" borderId="0" xfId="2" applyNumberFormat="1" applyFont="1" applyFill="1"/>
    <xf numFmtId="2" fontId="0" fillId="0" borderId="0" xfId="0" applyNumberFormat="1" applyAlignment="1">
      <alignment horizontal="left" indent="1"/>
    </xf>
    <xf numFmtId="0" fontId="11" fillId="2" borderId="0" xfId="0" applyFont="1" applyFill="1" applyAlignment="1">
      <alignment vertical="center" wrapText="1"/>
    </xf>
    <xf numFmtId="0" fontId="2" fillId="7" borderId="0" xfId="0" applyFont="1" applyFill="1"/>
    <xf numFmtId="0" fontId="12" fillId="2" borderId="0" xfId="0" applyFont="1" applyFill="1" applyAlignment="1">
      <alignment horizontal="center"/>
    </xf>
    <xf numFmtId="165" fontId="3" fillId="6" borderId="0" xfId="8" applyNumberFormat="1" applyFont="1" applyBorder="1" applyAlignment="1">
      <alignment horizontal="left"/>
    </xf>
    <xf numFmtId="0" fontId="2" fillId="0" borderId="7" xfId="0" applyFont="1" applyBorder="1"/>
    <xf numFmtId="165" fontId="2" fillId="0" borderId="7" xfId="1" applyNumberFormat="1" applyFont="1" applyBorder="1"/>
    <xf numFmtId="165" fontId="5" fillId="0" borderId="7" xfId="1" applyNumberFormat="1" applyFont="1" applyBorder="1" applyAlignment="1">
      <alignment horizontal="left" indent="1"/>
    </xf>
    <xf numFmtId="166" fontId="5" fillId="0" borderId="7" xfId="2" applyNumberFormat="1" applyFont="1" applyBorder="1" applyAlignment="1">
      <alignment horizontal="right"/>
    </xf>
    <xf numFmtId="165" fontId="1" fillId="0" borderId="7" xfId="1" applyNumberFormat="1" applyFont="1" applyBorder="1" applyAlignment="1">
      <alignment horizontal="left"/>
    </xf>
    <xf numFmtId="165" fontId="1" fillId="0" borderId="7" xfId="1" applyNumberFormat="1" applyFont="1" applyBorder="1"/>
    <xf numFmtId="0" fontId="0" fillId="0" borderId="7" xfId="0" applyBorder="1" applyAlignment="1">
      <alignment horizontal="left" indent="1"/>
    </xf>
    <xf numFmtId="0" fontId="0" fillId="0" borderId="7" xfId="0" applyBorder="1"/>
    <xf numFmtId="165" fontId="5" fillId="0" borderId="7" xfId="1" applyNumberFormat="1" applyFont="1" applyBorder="1" applyAlignment="1">
      <alignment horizontal="left"/>
    </xf>
    <xf numFmtId="0" fontId="3" fillId="6" borderId="7" xfId="8" applyFont="1" applyBorder="1"/>
    <xf numFmtId="165" fontId="3" fillId="6" borderId="7" xfId="8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43" fontId="14" fillId="0" borderId="7" xfId="1" applyFont="1" applyBorder="1"/>
    <xf numFmtId="0" fontId="2" fillId="0" borderId="0" xfId="0" applyFont="1"/>
    <xf numFmtId="165" fontId="0" fillId="0" borderId="7" xfId="0" applyNumberFormat="1" applyBorder="1"/>
    <xf numFmtId="165" fontId="14" fillId="0" borderId="7" xfId="1" applyNumberFormat="1" applyFont="1" applyBorder="1"/>
    <xf numFmtId="165" fontId="2" fillId="0" borderId="7" xfId="0" applyNumberFormat="1" applyFont="1" applyBorder="1"/>
    <xf numFmtId="165" fontId="0" fillId="0" borderId="0" xfId="0" applyNumberFormat="1"/>
    <xf numFmtId="165" fontId="0" fillId="0" borderId="2" xfId="0" applyNumberFormat="1" applyBorder="1"/>
    <xf numFmtId="167" fontId="0" fillId="0" borderId="4" xfId="0" applyNumberFormat="1" applyBorder="1"/>
    <xf numFmtId="43" fontId="0" fillId="0" borderId="6" xfId="0" applyNumberFormat="1" applyBorder="1"/>
    <xf numFmtId="2" fontId="0" fillId="0" borderId="4" xfId="0" applyNumberFormat="1" applyBorder="1"/>
    <xf numFmtId="165" fontId="0" fillId="0" borderId="4" xfId="0" applyNumberFormat="1" applyBorder="1"/>
  </cellXfs>
  <cellStyles count="9">
    <cellStyle name="Accent1" xfId="8" builtinId="29"/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 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jniShah/Documents/Quill%20Capital%20Partners%20-%20Investment%20Analyst%20Program/Level%202%20-%20Financial%20Modelling/Task%2011%20-%20Linking%20Cash%20Flow%20Statement/Completed_71729696238933_Task%2011%20-%20Linking%20Cash%20Flow%20Statement.xlsx" TargetMode="External"/><Relationship Id="rId1" Type="http://schemas.openxmlformats.org/officeDocument/2006/relationships/externalLinkPath" Target="/Users/SajniShah/Documents/Quill%20Capital%20Partners%20-%20Investment%20Analyst%20Program/Level%202%20-%20Financial%20Modelling/Task%2011%20-%20Linking%20Cash%20Flow%20Statement/Completed_71729696238933_Task%2011%20-%20Linking%20Cash%20Flow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3">
          <cell r="C3">
            <v>17405</v>
          </cell>
        </row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4">
          <cell r="C14">
            <v>2.21</v>
          </cell>
          <cell r="D14">
            <v>2.56</v>
          </cell>
          <cell r="E14">
            <v>1.19</v>
          </cell>
          <cell r="F14">
            <v>2.5499999999999998</v>
          </cell>
          <cell r="G14">
            <v>1.63</v>
          </cell>
          <cell r="H14">
            <v>3.64</v>
          </cell>
          <cell r="I14">
            <v>3.83</v>
          </cell>
        </row>
        <row r="18">
          <cell r="B18">
            <v>1768.8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72">
          <cell r="B72">
            <v>-216</v>
          </cell>
          <cell r="C72">
            <v>60</v>
          </cell>
          <cell r="D72">
            <v>-426</v>
          </cell>
          <cell r="E72">
            <v>187</v>
          </cell>
          <cell r="F72">
            <v>-270</v>
          </cell>
          <cell r="G72">
            <v>1239</v>
          </cell>
          <cell r="H72">
            <v>-1606</v>
          </cell>
          <cell r="I72">
            <v>-504</v>
          </cell>
        </row>
        <row r="73">
          <cell r="B73">
            <v>-621</v>
          </cell>
          <cell r="C73">
            <v>-590</v>
          </cell>
          <cell r="D73">
            <v>-231</v>
          </cell>
          <cell r="E73">
            <v>-255</v>
          </cell>
          <cell r="F73">
            <v>-490</v>
          </cell>
          <cell r="G73">
            <v>-1854</v>
          </cell>
          <cell r="H73">
            <v>507</v>
          </cell>
          <cell r="I73">
            <v>-1676</v>
          </cell>
        </row>
        <row r="74">
          <cell r="B74">
            <v>-144</v>
          </cell>
          <cell r="C74">
            <v>-161</v>
          </cell>
          <cell r="D74">
            <v>-120</v>
          </cell>
          <cell r="E74">
            <v>35</v>
          </cell>
          <cell r="F74">
            <v>-203</v>
          </cell>
          <cell r="G74">
            <v>-654</v>
          </cell>
          <cell r="H74">
            <v>-182</v>
          </cell>
          <cell r="I74">
            <v>-845</v>
          </cell>
        </row>
        <row r="75">
          <cell r="B75">
            <v>1237</v>
          </cell>
          <cell r="C75">
            <v>-889</v>
          </cell>
          <cell r="D75">
            <v>-158</v>
          </cell>
          <cell r="E75">
            <v>1515</v>
          </cell>
          <cell r="F75">
            <v>1525</v>
          </cell>
          <cell r="G75">
            <v>24</v>
          </cell>
          <cell r="H75">
            <v>1326</v>
          </cell>
          <cell r="I75">
            <v>1365</v>
          </cell>
        </row>
        <row r="76">
          <cell r="B76">
            <v>4680</v>
          </cell>
          <cell r="C76">
            <v>3096</v>
          </cell>
          <cell r="D76">
            <v>3846</v>
          </cell>
          <cell r="E76">
            <v>4955</v>
          </cell>
          <cell r="F76">
            <v>5903</v>
          </cell>
          <cell r="G76">
            <v>2485</v>
          </cell>
          <cell r="H76">
            <v>6657</v>
          </cell>
          <cell r="I76">
            <v>5188</v>
          </cell>
        </row>
        <row r="78">
          <cell r="B78">
            <v>-4936</v>
          </cell>
          <cell r="C78">
            <v>-5367</v>
          </cell>
          <cell r="D78">
            <v>-5928</v>
          </cell>
          <cell r="E78">
            <v>-4783</v>
          </cell>
          <cell r="F78">
            <v>-2937</v>
          </cell>
          <cell r="G78">
            <v>-2426</v>
          </cell>
          <cell r="H78">
            <v>-9961</v>
          </cell>
          <cell r="I78">
            <v>-12913</v>
          </cell>
        </row>
        <row r="79">
          <cell r="B79">
            <v>3655</v>
          </cell>
          <cell r="C79">
            <v>2924</v>
          </cell>
          <cell r="D79">
            <v>3623</v>
          </cell>
          <cell r="E79">
            <v>3613</v>
          </cell>
          <cell r="F79">
            <v>1715</v>
          </cell>
          <cell r="G79">
            <v>74</v>
          </cell>
          <cell r="H79">
            <v>4236</v>
          </cell>
          <cell r="I79">
            <v>8199</v>
          </cell>
        </row>
        <row r="80">
          <cell r="B80">
            <v>2216</v>
          </cell>
          <cell r="C80">
            <v>2386</v>
          </cell>
          <cell r="D80">
            <v>2423</v>
          </cell>
          <cell r="E80">
            <v>2496</v>
          </cell>
          <cell r="F80">
            <v>2072</v>
          </cell>
          <cell r="G80">
            <v>2379</v>
          </cell>
          <cell r="H80">
            <v>2449</v>
          </cell>
          <cell r="I80">
            <v>3967</v>
          </cell>
        </row>
        <row r="81">
          <cell r="B81">
            <v>-963</v>
          </cell>
          <cell r="C81">
            <v>-1143</v>
          </cell>
          <cell r="D81">
            <v>-1105</v>
          </cell>
          <cell r="E81">
            <v>-1028</v>
          </cell>
          <cell r="F81">
            <v>-1119</v>
          </cell>
          <cell r="G81">
            <v>-1086</v>
          </cell>
          <cell r="H81">
            <v>-695</v>
          </cell>
          <cell r="I81">
            <v>-758</v>
          </cell>
        </row>
        <row r="84">
          <cell r="B84">
            <v>-175</v>
          </cell>
        </row>
        <row r="86">
          <cell r="B86">
            <v>0</v>
          </cell>
          <cell r="C86">
            <v>981</v>
          </cell>
          <cell r="D86">
            <v>1482</v>
          </cell>
          <cell r="E86">
            <v>0</v>
          </cell>
          <cell r="F86">
            <v>0</v>
          </cell>
          <cell r="G86">
            <v>6134</v>
          </cell>
          <cell r="H86">
            <v>0</v>
          </cell>
          <cell r="I86">
            <v>0</v>
          </cell>
        </row>
        <row r="88">
          <cell r="B88">
            <v>-63</v>
          </cell>
          <cell r="C88">
            <v>-67</v>
          </cell>
          <cell r="D88">
            <v>327</v>
          </cell>
          <cell r="E88">
            <v>13</v>
          </cell>
          <cell r="F88">
            <v>-325</v>
          </cell>
          <cell r="G88">
            <v>49</v>
          </cell>
          <cell r="H88">
            <v>-52</v>
          </cell>
          <cell r="I88">
            <v>15</v>
          </cell>
        </row>
        <row r="90">
          <cell r="B90">
            <v>-7</v>
          </cell>
          <cell r="C90">
            <v>-106</v>
          </cell>
          <cell r="D90">
            <v>-44</v>
          </cell>
          <cell r="E90">
            <v>-6</v>
          </cell>
          <cell r="F90">
            <v>0</v>
          </cell>
          <cell r="G90">
            <v>0</v>
          </cell>
          <cell r="H90">
            <v>-197</v>
          </cell>
          <cell r="I90">
            <v>0</v>
          </cell>
        </row>
        <row r="91">
          <cell r="B91">
            <v>514</v>
          </cell>
          <cell r="C91">
            <v>507</v>
          </cell>
          <cell r="D91">
            <v>489</v>
          </cell>
          <cell r="E91">
            <v>733</v>
          </cell>
          <cell r="F91">
            <v>700</v>
          </cell>
          <cell r="G91">
            <v>885</v>
          </cell>
          <cell r="H91">
            <v>1172</v>
          </cell>
          <cell r="I91">
            <v>1151</v>
          </cell>
        </row>
        <row r="93">
          <cell r="B93">
            <v>-2534</v>
          </cell>
          <cell r="C93">
            <v>-3238</v>
          </cell>
          <cell r="D93">
            <v>-3223</v>
          </cell>
          <cell r="E93">
            <v>-4254</v>
          </cell>
          <cell r="F93">
            <v>-4286</v>
          </cell>
          <cell r="G93">
            <v>-3067</v>
          </cell>
          <cell r="H93">
            <v>-608</v>
          </cell>
          <cell r="I93">
            <v>-4014</v>
          </cell>
        </row>
        <row r="94">
          <cell r="B94">
            <v>-899</v>
          </cell>
          <cell r="C94">
            <v>-1022</v>
          </cell>
          <cell r="D94">
            <v>-1133</v>
          </cell>
          <cell r="E94">
            <v>-1243</v>
          </cell>
          <cell r="F94">
            <v>-1332</v>
          </cell>
          <cell r="G94">
            <v>-1452</v>
          </cell>
          <cell r="H94">
            <v>-1638</v>
          </cell>
          <cell r="I94">
            <v>-1837</v>
          </cell>
        </row>
        <row r="95">
          <cell r="B95">
            <v>199</v>
          </cell>
          <cell r="C95">
            <v>274</v>
          </cell>
          <cell r="D95">
            <v>-46</v>
          </cell>
          <cell r="E95">
            <v>-78</v>
          </cell>
          <cell r="F95">
            <v>-50</v>
          </cell>
          <cell r="G95">
            <v>-58</v>
          </cell>
          <cell r="H95">
            <v>-136</v>
          </cell>
          <cell r="I95">
            <v>-151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  <cell r="H105">
            <v>293</v>
          </cell>
          <cell r="I105">
            <v>290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  <cell r="H106">
            <v>1177</v>
          </cell>
          <cell r="I106">
            <v>1231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  <cell r="H107">
            <v>179</v>
          </cell>
          <cell r="I107">
            <v>160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  <cell r="J3">
            <v>48998.789999999994</v>
          </cell>
          <cell r="K3">
            <v>51399.730709999989</v>
          </cell>
          <cell r="L3">
            <v>53918.317514789982</v>
          </cell>
          <cell r="M3">
            <v>56560.315073014688</v>
          </cell>
          <cell r="N3">
            <v>59331.770511592404</v>
          </cell>
        </row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  <cell r="J4">
            <v>4.9000000000000002E-2</v>
          </cell>
          <cell r="K4">
            <v>4.9000000000000002E-2</v>
          </cell>
          <cell r="L4">
            <v>4.9000000000000002E-2</v>
          </cell>
          <cell r="M4">
            <v>4.9000000000000002E-2</v>
          </cell>
          <cell r="N4">
            <v>4.9000000000000002E-2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  <cell r="J5">
            <v>7944.0769999999993</v>
          </cell>
          <cell r="K5">
            <v>8333.3367729999973</v>
          </cell>
          <cell r="L5">
            <v>8741.6702748769967</v>
          </cell>
          <cell r="M5">
            <v>9170.0121183459687</v>
          </cell>
          <cell r="N5">
            <v>9619.3427121449204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  <cell r="J8">
            <v>752.13299999999992</v>
          </cell>
          <cell r="K8">
            <v>788.9875169999998</v>
          </cell>
          <cell r="L8">
            <v>827.6479053329997</v>
          </cell>
          <cell r="M8">
            <v>868.20265269431661</v>
          </cell>
          <cell r="N8">
            <v>910.74458267633804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  <cell r="J11">
            <v>7191.9439999999995</v>
          </cell>
          <cell r="K11">
            <v>7544.3492559999977</v>
          </cell>
          <cell r="L11">
            <v>7914.0223695439972</v>
          </cell>
          <cell r="M11">
            <v>8301.8094656516514</v>
          </cell>
          <cell r="N11">
            <v>8708.5981294685826</v>
          </cell>
        </row>
        <row r="12">
          <cell r="B12" t="str">
            <v>nm</v>
          </cell>
          <cell r="C12">
            <v>9.6621781242617555E-2</v>
          </cell>
          <cell r="D12">
            <v>6.5273588970271357E-2</v>
          </cell>
          <cell r="E12">
            <v>-0.11445904954499497</v>
          </cell>
          <cell r="F12">
            <v>0.10755880337976698</v>
          </cell>
          <cell r="G12">
            <v>-0.38639175257731961</v>
          </cell>
          <cell r="H12">
            <v>1.32627688172043</v>
          </cell>
          <cell r="I12">
            <v>-9.67788530983682E-3</v>
          </cell>
          <cell r="J12">
            <v>4.8999999999999932E-2</v>
          </cell>
          <cell r="K12">
            <v>4.899999999999971E-2</v>
          </cell>
          <cell r="L12">
            <v>4.8999999999999932E-2</v>
          </cell>
          <cell r="M12">
            <v>4.899999999999971E-2</v>
          </cell>
          <cell r="N12">
            <v>4.8999999999999932E-2</v>
          </cell>
        </row>
        <row r="13">
          <cell r="B13">
            <v>0.13832881278389594</v>
          </cell>
          <cell r="C13">
            <v>0.14337781072399308</v>
          </cell>
          <cell r="D13">
            <v>0.14395924308588065</v>
          </cell>
          <cell r="E13">
            <v>0.12031211363573921</v>
          </cell>
          <cell r="F13">
            <v>0.12398701331901731</v>
          </cell>
          <cell r="G13">
            <v>7.9565810229126011E-2</v>
          </cell>
          <cell r="H13">
            <v>0.1554402981723472</v>
          </cell>
          <cell r="I13">
            <v>0.14677799186469706</v>
          </cell>
          <cell r="J13">
            <v>0.14677799186469709</v>
          </cell>
          <cell r="K13">
            <v>0.14677799186469706</v>
          </cell>
          <cell r="L13">
            <v>0.14677799186469706</v>
          </cell>
          <cell r="M13">
            <v>0.14677799186469703</v>
          </cell>
          <cell r="N13">
            <v>0.14677799186469706</v>
          </cell>
        </row>
      </sheetData>
      <sheetData sheetId="3">
        <row r="53">
          <cell r="B53">
            <v>2511</v>
          </cell>
          <cell r="C53">
            <v>5162</v>
          </cell>
          <cell r="D53">
            <v>4946</v>
          </cell>
          <cell r="E53">
            <v>2256</v>
          </cell>
          <cell r="F53">
            <v>3124</v>
          </cell>
          <cell r="G53">
            <v>2809</v>
          </cell>
          <cell r="H53">
            <v>5636</v>
          </cell>
          <cell r="I53">
            <v>7114</v>
          </cell>
          <cell r="J53">
            <v>7773.0769999999993</v>
          </cell>
          <cell r="K53">
            <v>6909.3367729999973</v>
          </cell>
          <cell r="L53">
            <v>7317.6702748769967</v>
          </cell>
          <cell r="M53">
            <v>7746.0121183459678</v>
          </cell>
          <cell r="N53">
            <v>8195.3427121449204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zoomScale="120" zoomScaleNormal="120" workbookViewId="0">
      <selection activeCell="A7" sqref="A7"/>
    </sheetView>
  </sheetViews>
  <sheetFormatPr baseColWidth="10" defaultColWidth="9.1640625" defaultRowHeight="15" x14ac:dyDescent="0.2"/>
  <cols>
    <col min="1" max="1" width="176.1640625" style="4" customWidth="1"/>
  </cols>
  <sheetData>
    <row r="1" spans="1:1" ht="25" x14ac:dyDescent="0.3">
      <c r="A1" s="3" t="s">
        <v>0</v>
      </c>
    </row>
    <row r="2" spans="1:1" ht="16" x14ac:dyDescent="0.2">
      <c r="A2" s="13" t="s">
        <v>37</v>
      </c>
    </row>
    <row r="3" spans="1:1" x14ac:dyDescent="0.2">
      <c r="A3" s="5"/>
    </row>
    <row r="4" spans="1:1" ht="25" x14ac:dyDescent="0.3">
      <c r="A4" s="3" t="s">
        <v>1</v>
      </c>
    </row>
    <row r="5" spans="1:1" ht="16" x14ac:dyDescent="0.2">
      <c r="A5" s="6" t="s">
        <v>31</v>
      </c>
    </row>
    <row r="6" spans="1:1" ht="16" x14ac:dyDescent="0.2">
      <c r="A6" s="6" t="s">
        <v>41</v>
      </c>
    </row>
    <row r="7" spans="1:1" ht="16" x14ac:dyDescent="0.2">
      <c r="A7" s="23" t="s">
        <v>42</v>
      </c>
    </row>
    <row r="8" spans="1:1" ht="16" x14ac:dyDescent="0.2">
      <c r="A8" s="6" t="s">
        <v>40</v>
      </c>
    </row>
    <row r="9" spans="1:1" ht="16" x14ac:dyDescent="0.2">
      <c r="A9" s="4" t="s">
        <v>30</v>
      </c>
    </row>
    <row r="10" spans="1:1" x14ac:dyDescent="0.2">
      <c r="A10" s="5"/>
    </row>
    <row r="11" spans="1:1" x14ac:dyDescent="0.2">
      <c r="A11" s="5"/>
    </row>
    <row r="12" spans="1:1" x14ac:dyDescent="0.2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6"/>
  <sheetViews>
    <sheetView tabSelected="1" zoomScale="130" zoomScaleNormal="130" workbookViewId="0">
      <pane ySplit="1" topLeftCell="A11" activePane="bottomLeft" state="frozen"/>
      <selection pane="bottomLeft" activeCell="B24" sqref="B24"/>
    </sheetView>
  </sheetViews>
  <sheetFormatPr baseColWidth="10" defaultColWidth="8.83203125" defaultRowHeight="15" x14ac:dyDescent="0.2"/>
  <cols>
    <col min="1" max="1" width="42.6640625" customWidth="1"/>
    <col min="2" max="8" width="10.5" customWidth="1"/>
    <col min="9" max="9" width="12.1640625" customWidth="1"/>
    <col min="10" max="10" width="87.5" customWidth="1"/>
    <col min="11" max="11" width="11.5" bestFit="1" customWidth="1"/>
    <col min="12" max="15" width="10.5" bestFit="1" customWidth="1"/>
  </cols>
  <sheetData>
    <row r="1" spans="1:22" ht="60" customHeight="1" x14ac:dyDescent="0.2">
      <c r="A1" s="21" t="s">
        <v>39</v>
      </c>
      <c r="B1" s="7">
        <v>2015</v>
      </c>
      <c r="C1" s="7">
        <f t="shared" ref="C1:T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22" t="s">
        <v>1</v>
      </c>
      <c r="K1" s="9">
        <f>+I1+1</f>
        <v>2023</v>
      </c>
      <c r="L1" s="9">
        <f t="shared" si="0"/>
        <v>2024</v>
      </c>
      <c r="M1" s="9">
        <f t="shared" si="0"/>
        <v>2025</v>
      </c>
      <c r="N1" s="9">
        <f t="shared" si="0"/>
        <v>2026</v>
      </c>
      <c r="O1" s="9">
        <f t="shared" si="0"/>
        <v>2027</v>
      </c>
      <c r="P1" s="9">
        <f t="shared" si="0"/>
        <v>2028</v>
      </c>
      <c r="Q1" s="9">
        <f t="shared" si="0"/>
        <v>2029</v>
      </c>
      <c r="R1" s="9">
        <f t="shared" si="0"/>
        <v>2030</v>
      </c>
      <c r="S1" s="9">
        <f t="shared" si="0"/>
        <v>2031</v>
      </c>
      <c r="T1" s="9">
        <f t="shared" si="0"/>
        <v>2032</v>
      </c>
      <c r="U1" s="14" t="s">
        <v>2</v>
      </c>
    </row>
    <row r="2" spans="1:22" x14ac:dyDescent="0.2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  <c r="Q2" s="15"/>
      <c r="R2" s="15"/>
      <c r="S2" s="15"/>
      <c r="T2" s="15"/>
      <c r="U2" s="15"/>
    </row>
    <row r="3" spans="1:22" x14ac:dyDescent="0.2">
      <c r="A3" t="s">
        <v>4</v>
      </c>
      <c r="B3" s="16">
        <f>(62.5+66.14+65.51+61.49+55.88+57.61+54.01+50.83+49.42+50.17+48.56+46.13)/12</f>
        <v>55.687499999999993</v>
      </c>
      <c r="C3" s="16">
        <f>(50.83+50.07+50.18+52.65+57.64+55.5+55.2+55.22+58.94+61.47+61.59+62.01)/12</f>
        <v>55.941666666666663</v>
      </c>
      <c r="D3" s="16">
        <f>(62.55+60.42+54.99+51.85+52.81+59.05+59+52.99+55.41+55.73+57.16+52.9)/12</f>
        <v>56.238333333333337</v>
      </c>
      <c r="E3" s="16">
        <f>(74.14+75.12+75.04+84.72+82.2+76.91+79.68+71.8+68.39+66.44+67.03+68.22)/12</f>
        <v>74.140833333333319</v>
      </c>
      <c r="F3" s="16">
        <f>(101.31+93.49+89.55+93.92+84.5+86.03+83.95+77.14+87.83+84.21+85.73+81.88)/12</f>
        <v>87.461666666666687</v>
      </c>
      <c r="G3" s="16">
        <f>(141.47+134.7+120.08+125.54+111.89+97.61+98.05+98.58+87.18+82.74+89.38+96.3)/12</f>
        <v>106.95999999999998</v>
      </c>
      <c r="H3" s="16">
        <f>(166.67+169.24+167.29+145.23+164.74+167.51+154.49+136.46+132.62+132.89+134.78+133.59)/12</f>
        <v>150.45916666666665</v>
      </c>
      <c r="I3" s="16">
        <f>(117.01+109.69+92.68+83.12+106.45+114.92+102.2+118.85+124.7+134.56+136.55+148.07)/12</f>
        <v>115.73333333333333</v>
      </c>
      <c r="K3" s="16">
        <f>(108.57+110.27+102.77+95.62+101.71+110.39+110.37+105.26+126.72+122.64+118.79+127.33)/12</f>
        <v>111.70333333333332</v>
      </c>
      <c r="L3" s="24">
        <f>(77.61+77.61+77.13+88.4+83.32+74.86+75.37+95.05+92.26+93.38+103.93+101.53)/12</f>
        <v>86.704166666666652</v>
      </c>
      <c r="M3" s="24">
        <f t="shared" ref="M3:U3" si="1">(77.61+77.61+77.13+88.4+83.32+74.86+75.37+95.05+92.26+93.38+103.93+101.53)/12</f>
        <v>86.704166666666652</v>
      </c>
      <c r="N3" s="24">
        <f t="shared" si="1"/>
        <v>86.704166666666652</v>
      </c>
      <c r="O3" s="24">
        <f t="shared" si="1"/>
        <v>86.704166666666652</v>
      </c>
      <c r="P3" s="24">
        <f t="shared" si="1"/>
        <v>86.704166666666652</v>
      </c>
      <c r="Q3" s="24">
        <f t="shared" si="1"/>
        <v>86.704166666666652</v>
      </c>
      <c r="R3" s="24">
        <f t="shared" si="1"/>
        <v>86.704166666666652</v>
      </c>
      <c r="S3" s="24">
        <f t="shared" si="1"/>
        <v>86.704166666666652</v>
      </c>
      <c r="T3" s="24">
        <f t="shared" si="1"/>
        <v>86.704166666666652</v>
      </c>
      <c r="U3" s="24">
        <f t="shared" si="1"/>
        <v>86.704166666666652</v>
      </c>
    </row>
    <row r="4" spans="1:22" x14ac:dyDescent="0.2">
      <c r="A4" t="s">
        <v>5</v>
      </c>
      <c r="B4" s="26">
        <f>((63.25*1723.5)+1079-3852)/1000</f>
        <v>106.238375</v>
      </c>
      <c r="C4" s="26">
        <f>((50.83*1697.9)+2010-3138)/1000</f>
        <v>85.176256999999993</v>
      </c>
      <c r="D4" s="26">
        <f>((62.55*1657.8)+3471-3808)/1000</f>
        <v>103.35839</v>
      </c>
      <c r="E4" s="26">
        <f>((73.34*1623.8)+3468-4249)/1000</f>
        <v>118.308492</v>
      </c>
      <c r="F4" s="26">
        <f>((100.8*1579.7)+3464-4466)/1000</f>
        <v>158.23176000000001</v>
      </c>
      <c r="G4" s="26">
        <f>((141.58*1558.8)+9406-8348)/1000</f>
        <v>221.752904</v>
      </c>
      <c r="H4" s="26">
        <f>((167.49*1573)+9413-9889)/1000</f>
        <v>262.98577</v>
      </c>
      <c r="I4" s="26">
        <f>((117.01*1578.8)+8920-8574)/1000</f>
        <v>185.081388</v>
      </c>
      <c r="J4" s="26"/>
      <c r="K4" s="26">
        <f>((108.57*1610.8)+8927-7441)/1000</f>
        <v>176.37055599999999</v>
      </c>
      <c r="L4" s="26">
        <f>((78.5*1610.8)+7903-9860)/1000</f>
        <v>124.49079999999999</v>
      </c>
      <c r="M4" s="26">
        <f>((78.52*1610.8)+7903-9860)/1000</f>
        <v>124.523016</v>
      </c>
      <c r="N4" s="26">
        <f>((78.52*1610.8)+7903-9860)/1000</f>
        <v>124.523016</v>
      </c>
      <c r="O4" s="26">
        <f>((78.5*1610.8)+7903-9860)/1000</f>
        <v>124.49079999999999</v>
      </c>
      <c r="P4" s="26">
        <f>O4</f>
        <v>124.49079999999999</v>
      </c>
      <c r="Q4" s="26">
        <f t="shared" ref="Q4:U4" si="2">P4</f>
        <v>124.49079999999999</v>
      </c>
      <c r="R4" s="26">
        <f t="shared" si="2"/>
        <v>124.49079999999999</v>
      </c>
      <c r="S4" s="26">
        <f t="shared" si="2"/>
        <v>124.49079999999999</v>
      </c>
      <c r="T4" s="26">
        <f t="shared" si="2"/>
        <v>124.49079999999999</v>
      </c>
      <c r="U4" s="26">
        <f t="shared" si="2"/>
        <v>124.49079999999999</v>
      </c>
    </row>
    <row r="5" spans="1:22" x14ac:dyDescent="0.2">
      <c r="A5" t="s">
        <v>6</v>
      </c>
      <c r="B5" s="29">
        <f>63.25/1.85040705563094</f>
        <v>34.181668194317069</v>
      </c>
      <c r="C5" s="29">
        <f>50.83/2.21</f>
        <v>23</v>
      </c>
      <c r="D5" s="29">
        <f>62.55/2.56</f>
        <v>24.43359375</v>
      </c>
      <c r="E5" s="29">
        <f>73.34/1.19</f>
        <v>61.630252100840345</v>
      </c>
      <c r="F5" s="29">
        <f>100.8/2.55</f>
        <v>39.529411764705884</v>
      </c>
      <c r="G5" s="29">
        <f>141.58/1.63</f>
        <v>86.858895705521491</v>
      </c>
      <c r="H5" s="29">
        <f>167.49/3.64</f>
        <v>46.013736263736263</v>
      </c>
      <c r="I5" s="29">
        <f>117.01/3.83</f>
        <v>30.550913838120106</v>
      </c>
      <c r="K5" s="16">
        <f>108.57/3.27</f>
        <v>33.201834862385319</v>
      </c>
      <c r="L5" s="16">
        <f>78.5/3.76</f>
        <v>20.877659574468087</v>
      </c>
      <c r="M5" s="16">
        <f>78.52/3.76</f>
        <v>20.882978723404257</v>
      </c>
      <c r="N5" s="16">
        <f>78.52/3.76</f>
        <v>20.882978723404257</v>
      </c>
      <c r="O5" s="16">
        <f t="shared" ref="O5:U5" si="3">78.52/3.76</f>
        <v>20.882978723404257</v>
      </c>
      <c r="P5" s="16">
        <f t="shared" si="3"/>
        <v>20.882978723404257</v>
      </c>
      <c r="Q5" s="16">
        <f t="shared" si="3"/>
        <v>20.882978723404257</v>
      </c>
      <c r="R5" s="16">
        <f t="shared" si="3"/>
        <v>20.882978723404257</v>
      </c>
      <c r="S5" s="16">
        <f t="shared" si="3"/>
        <v>20.882978723404257</v>
      </c>
      <c r="T5" s="16">
        <f t="shared" si="3"/>
        <v>20.882978723404257</v>
      </c>
      <c r="U5" s="16">
        <f t="shared" si="3"/>
        <v>20.882978723404257</v>
      </c>
    </row>
    <row r="6" spans="1:22" x14ac:dyDescent="0.2">
      <c r="A6" t="s">
        <v>7</v>
      </c>
      <c r="B6" s="29">
        <f>((63.25*1723.5)/6773)</f>
        <v>16.094991141296322</v>
      </c>
      <c r="C6" s="29">
        <f>((50.83*1697.9)/7786)</f>
        <v>11.08454366812227</v>
      </c>
      <c r="D6" s="29">
        <f>((62.55*1657.8))/5710</f>
        <v>18.160313485113836</v>
      </c>
      <c r="E6" s="29">
        <f>((73.34*1623.8))/6384</f>
        <v>18.654369047619049</v>
      </c>
      <c r="F6" s="29">
        <f>((100.8*1579.7))/7163</f>
        <v>22.230037693703757</v>
      </c>
      <c r="G6" s="29">
        <f>((141.58*1558.8))/8299</f>
        <v>26.592951439932524</v>
      </c>
      <c r="H6" s="29">
        <f>((167.49*1573))/9965</f>
        <v>26.438712493728051</v>
      </c>
      <c r="I6" s="29">
        <f>((117.01*1578.8))/11484</f>
        <v>16.086327760362245</v>
      </c>
      <c r="J6" s="29"/>
      <c r="K6" s="29">
        <f>((108.57*1610.8))/12412</f>
        <v>14.089957782790846</v>
      </c>
      <c r="L6" s="29">
        <f>((78.5*1610.8))/13409</f>
        <v>9.4300693564024165</v>
      </c>
      <c r="M6" s="29">
        <f>(((78.52*1610.8))/13409)</f>
        <v>9.4324719218435362</v>
      </c>
      <c r="N6" s="29">
        <f t="shared" ref="N6:U6" si="4">(((78.52*1610.8))/13409)</f>
        <v>9.4324719218435362</v>
      </c>
      <c r="O6" s="29">
        <f t="shared" si="4"/>
        <v>9.4324719218435362</v>
      </c>
      <c r="P6" s="29">
        <f t="shared" si="4"/>
        <v>9.4324719218435362</v>
      </c>
      <c r="Q6" s="29">
        <f t="shared" si="4"/>
        <v>9.4324719218435362</v>
      </c>
      <c r="R6" s="29">
        <f t="shared" si="4"/>
        <v>9.4324719218435362</v>
      </c>
      <c r="S6" s="29">
        <f t="shared" si="4"/>
        <v>9.4324719218435362</v>
      </c>
      <c r="T6" s="29">
        <f t="shared" si="4"/>
        <v>9.4324719218435362</v>
      </c>
      <c r="U6" s="29">
        <f t="shared" si="4"/>
        <v>9.4324719218435362</v>
      </c>
    </row>
    <row r="7" spans="1:22" x14ac:dyDescent="0.2">
      <c r="A7" t="s">
        <v>8</v>
      </c>
      <c r="B7" s="30">
        <f>B4/4839</f>
        <v>2.1954613556519943E-2</v>
      </c>
      <c r="C7" s="30">
        <f>C4/5291</f>
        <v>1.6098328671328668E-2</v>
      </c>
      <c r="D7" s="30">
        <f>D4/5651</f>
        <v>1.829028313572819E-2</v>
      </c>
      <c r="E7" s="30">
        <f>E4/5126</f>
        <v>2.3080080374561062E-2</v>
      </c>
      <c r="F7" s="30">
        <f>F4/5555</f>
        <v>2.8484565256525655E-2</v>
      </c>
      <c r="G7" s="30">
        <f>G4/3697</f>
        <v>5.998185123072762E-2</v>
      </c>
      <c r="H7" s="30">
        <f>H4/7667</f>
        <v>3.4301000391287334E-2</v>
      </c>
      <c r="I7" s="30">
        <f>I4/7573</f>
        <v>2.4439639244685066E-2</v>
      </c>
      <c r="K7" s="30">
        <f>K4/7944.077</f>
        <v>2.2201516425382078E-2</v>
      </c>
      <c r="L7" s="30">
        <f>L4/8333.336773</f>
        <v>1.493888983382383E-2</v>
      </c>
      <c r="M7" s="30">
        <f>M4/8741.670274877</f>
        <v>1.4244762394879061E-2</v>
      </c>
      <c r="N7" s="30">
        <f>N4/9170.01211834597</f>
        <v>1.3579373112372799E-2</v>
      </c>
      <c r="O7" s="30">
        <f>O4/9619.34271214492</f>
        <v>1.2941715845389714E-2</v>
      </c>
      <c r="P7" s="30">
        <f t="shared" ref="P7:U7" si="5">P4/9619.34271214492</f>
        <v>1.2941715845389714E-2</v>
      </c>
      <c r="Q7" s="30">
        <f t="shared" si="5"/>
        <v>1.2941715845389714E-2</v>
      </c>
      <c r="R7" s="30">
        <f t="shared" si="5"/>
        <v>1.2941715845389714E-2</v>
      </c>
      <c r="S7" s="30">
        <f t="shared" si="5"/>
        <v>1.2941715845389714E-2</v>
      </c>
      <c r="T7" s="30">
        <f t="shared" si="5"/>
        <v>1.2941715845389714E-2</v>
      </c>
      <c r="U7" s="30">
        <f t="shared" si="5"/>
        <v>1.2941715845389714E-2</v>
      </c>
    </row>
    <row r="8" spans="1:22" x14ac:dyDescent="0.2">
      <c r="A8" t="s">
        <v>9</v>
      </c>
      <c r="B8" s="30">
        <f>B4/2511</f>
        <v>4.2309189565909996E-2</v>
      </c>
      <c r="C8" s="30">
        <f>C4/5162</f>
        <v>1.650063095699341E-2</v>
      </c>
      <c r="D8" s="30">
        <f>D4/4946</f>
        <v>2.0897369591589162E-2</v>
      </c>
      <c r="E8" s="30">
        <f>E4/2256</f>
        <v>5.2441707446808511E-2</v>
      </c>
      <c r="F8" s="30">
        <f>F4/3124</f>
        <v>5.0650371318822024E-2</v>
      </c>
      <c r="G8" s="30">
        <f>G4/2809</f>
        <v>7.8943718049127809E-2</v>
      </c>
      <c r="H8" s="30">
        <f>H4/5636</f>
        <v>4.666177608232789E-2</v>
      </c>
      <c r="I8" s="30">
        <f>I4/7114</f>
        <v>2.601650098397526E-2</v>
      </c>
      <c r="K8" s="30">
        <f>K4/8513.01976921299</f>
        <v>2.0717743031425508E-2</v>
      </c>
      <c r="L8" s="30">
        <f>L4/7771.23134826855</f>
        <v>1.6019443305820107E-2</v>
      </c>
      <c r="M8" s="30">
        <f>M4/8178.60830013959</f>
        <v>1.5225452965863969E-2</v>
      </c>
      <c r="N8" s="30">
        <f>N4/8606.0365334239</f>
        <v>1.4469264163169744E-2</v>
      </c>
      <c r="O8" s="30">
        <f>O4/9054.49460557345</f>
        <v>1.3749061148412444E-2</v>
      </c>
      <c r="P8" s="30">
        <f t="shared" ref="P8:U8" si="6">P4/9054.49460557345</f>
        <v>1.3749061148412444E-2</v>
      </c>
      <c r="Q8" s="30">
        <f t="shared" si="6"/>
        <v>1.3749061148412444E-2</v>
      </c>
      <c r="R8" s="30">
        <f t="shared" si="6"/>
        <v>1.3749061148412444E-2</v>
      </c>
      <c r="S8" s="30">
        <f t="shared" si="6"/>
        <v>1.3749061148412444E-2</v>
      </c>
      <c r="T8" s="30">
        <f t="shared" si="6"/>
        <v>1.3749061148412444E-2</v>
      </c>
      <c r="U8" s="30">
        <f t="shared" si="6"/>
        <v>1.3749061148412444E-2</v>
      </c>
    </row>
    <row r="9" spans="1:22" s="25" customFormat="1" x14ac:dyDescent="0.2">
      <c r="A9" s="25" t="s">
        <v>10</v>
      </c>
      <c r="B9" s="31">
        <f>1079/6773</f>
        <v>0.15930902111324377</v>
      </c>
      <c r="C9" s="31">
        <f>2010/7786</f>
        <v>0.25815566401232981</v>
      </c>
      <c r="D9" s="31">
        <f>3471/5710</f>
        <v>0.60788091068301231</v>
      </c>
      <c r="E9" s="31">
        <f>3468/6384</f>
        <v>0.54323308270676696</v>
      </c>
      <c r="F9" s="31">
        <f>3464/7163</f>
        <v>0.4835962585508865</v>
      </c>
      <c r="G9" s="31">
        <f>9406/8299</f>
        <v>1.1333895650078323</v>
      </c>
      <c r="H9" s="31">
        <f>9413/9965</f>
        <v>0.94460612142498745</v>
      </c>
      <c r="I9" s="31">
        <f>8920/11484</f>
        <v>0.77673284569836298</v>
      </c>
      <c r="K9" s="25">
        <f>8927/12412</f>
        <v>0.71922333225910406</v>
      </c>
      <c r="L9" s="25">
        <f>7903/13409</f>
        <v>0.5893802669848609</v>
      </c>
      <c r="M9" s="25">
        <f t="shared" ref="M9:U9" si="7">7903/13409</f>
        <v>0.5893802669848609</v>
      </c>
      <c r="N9" s="25">
        <f t="shared" si="7"/>
        <v>0.5893802669848609</v>
      </c>
      <c r="O9" s="25">
        <f t="shared" si="7"/>
        <v>0.5893802669848609</v>
      </c>
      <c r="P9" s="25">
        <f t="shared" si="7"/>
        <v>0.5893802669848609</v>
      </c>
      <c r="Q9" s="25">
        <f t="shared" si="7"/>
        <v>0.5893802669848609</v>
      </c>
      <c r="R9" s="25">
        <f t="shared" si="7"/>
        <v>0.5893802669848609</v>
      </c>
      <c r="S9" s="25">
        <f t="shared" si="7"/>
        <v>0.5893802669848609</v>
      </c>
      <c r="T9" s="25">
        <f t="shared" si="7"/>
        <v>0.5893802669848609</v>
      </c>
      <c r="U9" s="25">
        <f t="shared" si="7"/>
        <v>0.5893802669848609</v>
      </c>
    </row>
    <row r="10" spans="1:22" x14ac:dyDescent="0.2">
      <c r="A10" t="s">
        <v>11</v>
      </c>
      <c r="B10" s="31">
        <f>(1079+6773/6773)/100000</f>
        <v>1.0800000000000001E-2</v>
      </c>
      <c r="C10" s="31">
        <f>(2010+7786/7786)/100000</f>
        <v>2.0109999999999999E-2</v>
      </c>
      <c r="D10" s="31">
        <f>(3471+5710/5710)/100000</f>
        <v>3.4720000000000001E-2</v>
      </c>
      <c r="E10" s="31">
        <f>(3468+6384/6384)/1000000</f>
        <v>3.4689999999999999E-3</v>
      </c>
      <c r="F10" s="31">
        <f>(3464+7163/7163)/1000000</f>
        <v>3.4650000000000002E-3</v>
      </c>
      <c r="G10" s="31">
        <f>(9406+8299/8299)/100000</f>
        <v>9.4070000000000001E-2</v>
      </c>
      <c r="H10" s="31">
        <f>(9413+9965/9965)/1000000</f>
        <v>9.4140000000000005E-3</v>
      </c>
      <c r="I10" s="31">
        <f>(8920+11484/11484)/1000000</f>
        <v>8.9210000000000001E-3</v>
      </c>
      <c r="J10" s="25"/>
      <c r="K10" s="25">
        <f>(8927+12412/12412)/1000000</f>
        <v>8.9280000000000002E-3</v>
      </c>
      <c r="L10" s="25">
        <f>(7903+13409/13409)/1000000</f>
        <v>7.9039999999999996E-3</v>
      </c>
      <c r="M10" s="25">
        <f t="shared" ref="M10:U10" si="8">(7903+13409/13409)/1000000</f>
        <v>7.9039999999999996E-3</v>
      </c>
      <c r="N10" s="25">
        <f t="shared" si="8"/>
        <v>7.9039999999999996E-3</v>
      </c>
      <c r="O10" s="25">
        <f t="shared" si="8"/>
        <v>7.9039999999999996E-3</v>
      </c>
      <c r="P10" s="25">
        <f t="shared" si="8"/>
        <v>7.9039999999999996E-3</v>
      </c>
      <c r="Q10" s="25">
        <f t="shared" si="8"/>
        <v>7.9039999999999996E-3</v>
      </c>
      <c r="R10" s="25">
        <f t="shared" si="8"/>
        <v>7.9039999999999996E-3</v>
      </c>
      <c r="S10" s="25">
        <f t="shared" si="8"/>
        <v>7.9039999999999996E-3</v>
      </c>
      <c r="T10" s="25">
        <f t="shared" si="8"/>
        <v>7.9039999999999996E-3</v>
      </c>
      <c r="U10" s="25">
        <f t="shared" si="8"/>
        <v>7.9039999999999996E-3</v>
      </c>
    </row>
    <row r="11" spans="1:22" s="33" customFormat="1" x14ac:dyDescent="0.2">
      <c r="A11" s="33" t="s">
        <v>12</v>
      </c>
      <c r="B11" s="32">
        <v>0.48324228554554849</v>
      </c>
      <c r="C11" s="32">
        <v>0.48291805805291549</v>
      </c>
      <c r="D11" s="32">
        <v>0.74255691768826615</v>
      </c>
      <c r="E11" s="32">
        <v>0.30278822055137844</v>
      </c>
      <c r="F11" s="32">
        <v>0.56247382381683653</v>
      </c>
      <c r="G11" s="32">
        <v>0.30594047475599467</v>
      </c>
      <c r="H11" s="32">
        <v>0.57471149021575518</v>
      </c>
      <c r="I11" s="32">
        <v>0.52647161267850928</v>
      </c>
      <c r="K11" s="33">
        <f>6066.944/12412</f>
        <v>0.48879664840476961</v>
      </c>
      <c r="L11" s="33">
        <f>6705.349256/13409</f>
        <v>0.50006333477515108</v>
      </c>
      <c r="M11" s="33">
        <f>7075.022369544/13409</f>
        <v>0.52763236404981728</v>
      </c>
      <c r="N11" s="33">
        <f>7462.80946565165/13409</f>
        <v>0.55655227575894173</v>
      </c>
      <c r="O11" s="33">
        <f>7869.59812946858/13409</f>
        <v>0.58688926314181367</v>
      </c>
      <c r="P11" s="33">
        <f t="shared" ref="P11:U11" si="9">7869.59812946858/13409</f>
        <v>0.58688926314181367</v>
      </c>
      <c r="Q11" s="33">
        <f t="shared" si="9"/>
        <v>0.58688926314181367</v>
      </c>
      <c r="R11" s="33">
        <f t="shared" si="9"/>
        <v>0.58688926314181367</v>
      </c>
      <c r="S11" s="33">
        <f t="shared" si="9"/>
        <v>0.58688926314181367</v>
      </c>
      <c r="T11" s="33">
        <f t="shared" si="9"/>
        <v>0.58688926314181367</v>
      </c>
      <c r="U11" s="33">
        <f t="shared" si="9"/>
        <v>0.58688926314181367</v>
      </c>
    </row>
    <row r="15" spans="1:22" x14ac:dyDescent="0.2">
      <c r="A15" t="s">
        <v>13</v>
      </c>
      <c r="B15" s="2">
        <v>2511</v>
      </c>
      <c r="C15" s="2">
        <v>5162</v>
      </c>
      <c r="D15" s="2">
        <v>4946</v>
      </c>
      <c r="E15" s="2">
        <v>2256</v>
      </c>
      <c r="F15" s="2">
        <v>3124</v>
      </c>
      <c r="G15" s="2">
        <v>2809</v>
      </c>
      <c r="H15" s="2">
        <v>5636</v>
      </c>
      <c r="I15" s="2">
        <v>7114</v>
      </c>
      <c r="J15" t="s">
        <v>43</v>
      </c>
      <c r="K15" s="2">
        <v>8513.0197692129859</v>
      </c>
      <c r="L15" s="2">
        <f>K15*(1+K16)</f>
        <v>10745.13355270063</v>
      </c>
      <c r="M15" s="2">
        <f t="shared" ref="M15:U15" si="10">L15*(1+L16)</f>
        <v>13562.507570218735</v>
      </c>
      <c r="N15" s="2">
        <f t="shared" si="10"/>
        <v>17118.597055130089</v>
      </c>
      <c r="O15" s="2">
        <f t="shared" si="10"/>
        <v>21607.093202985197</v>
      </c>
      <c r="P15" s="2">
        <f t="shared" si="10"/>
        <v>27272.473040807916</v>
      </c>
      <c r="Q15" s="2">
        <f t="shared" si="10"/>
        <v>34423.315472107752</v>
      </c>
      <c r="R15" s="2">
        <f t="shared" si="10"/>
        <v>43449.108788894402</v>
      </c>
      <c r="S15" s="2">
        <f t="shared" si="10"/>
        <v>54841.465113342514</v>
      </c>
      <c r="T15" s="2">
        <f t="shared" si="10"/>
        <v>69220.897266060914</v>
      </c>
      <c r="U15" s="2">
        <f t="shared" si="10"/>
        <v>87370.616529222083</v>
      </c>
      <c r="V15" s="2"/>
    </row>
    <row r="16" spans="1:22" s="10" customFormat="1" ht="12" x14ac:dyDescent="0.15">
      <c r="A16" s="12" t="s">
        <v>14</v>
      </c>
      <c r="B16" s="11" t="str">
        <f>+IFERROR(B15/A15-1,"nm")</f>
        <v>nm</v>
      </c>
      <c r="C16" s="11">
        <f t="shared" ref="C16:I16" si="11">+IFERROR(C15/B15-1,"nm")</f>
        <v>1.0557546794105934</v>
      </c>
      <c r="D16" s="11">
        <f t="shared" si="11"/>
        <v>-4.1844246416117836E-2</v>
      </c>
      <c r="E16" s="11">
        <f t="shared" si="11"/>
        <v>-0.54387383744439943</v>
      </c>
      <c r="F16" s="11">
        <f t="shared" si="11"/>
        <v>0.38475177304964547</v>
      </c>
      <c r="G16" s="11">
        <f t="shared" si="11"/>
        <v>-0.10083226632522402</v>
      </c>
      <c r="H16" s="11">
        <f t="shared" si="11"/>
        <v>1.0064079743681025</v>
      </c>
      <c r="I16" s="11">
        <f t="shared" si="11"/>
        <v>0.26224272533711845</v>
      </c>
      <c r="J16" s="11"/>
      <c r="K16" s="11">
        <v>0.26219999999999999</v>
      </c>
      <c r="L16" s="11">
        <v>0.26219999999999999</v>
      </c>
      <c r="M16" s="11">
        <v>0.26219999999999999</v>
      </c>
      <c r="N16" s="11">
        <v>0.26219999999999999</v>
      </c>
      <c r="O16" s="11">
        <v>0.26219999999999999</v>
      </c>
      <c r="P16" s="11">
        <v>0.26219999999999999</v>
      </c>
      <c r="Q16" s="11">
        <v>0.26219999999999999</v>
      </c>
      <c r="R16" s="11">
        <v>0.26219999999999999</v>
      </c>
      <c r="S16" s="11">
        <v>0.26219999999999999</v>
      </c>
      <c r="T16" s="11">
        <v>0.26219999999999999</v>
      </c>
      <c r="U16" s="11">
        <v>0.26219999999999999</v>
      </c>
      <c r="V16" s="11"/>
    </row>
    <row r="17" spans="1:21" s="33" customFormat="1" x14ac:dyDescent="0.2">
      <c r="A17" s="33" t="s">
        <v>19</v>
      </c>
      <c r="B17" s="33">
        <f>(B30/(B30+B29)*B19)+(B29/(B29+B30)*B22*(1-0.21))</f>
        <v>1.5201079049570947E-2</v>
      </c>
      <c r="C17" s="33">
        <f t="shared" ref="C17:U17" si="12">(C30/(C30+C29)*C19)+(C29/(C29+C30)*C22*(1-0.21))</f>
        <v>0.10240562708263301</v>
      </c>
      <c r="D17" s="33">
        <f t="shared" si="12"/>
        <v>0.20487363047511334</v>
      </c>
      <c r="E17" s="33">
        <f t="shared" si="12"/>
        <v>-6.7253296604510848E-2</v>
      </c>
      <c r="F17" s="33">
        <f t="shared" si="12"/>
        <v>0.36053836974076231</v>
      </c>
      <c r="G17" s="33">
        <f t="shared" si="12"/>
        <v>0.21449076657804847</v>
      </c>
      <c r="H17" s="33">
        <f t="shared" si="12"/>
        <v>0.338898983762419</v>
      </c>
      <c r="I17" s="33">
        <f t="shared" si="12"/>
        <v>-0.24109277223766395</v>
      </c>
      <c r="J17" s="33" t="s">
        <v>29</v>
      </c>
      <c r="K17" s="33">
        <f t="shared" si="12"/>
        <v>0.32812108850783583</v>
      </c>
      <c r="L17" s="33">
        <f t="shared" si="12"/>
        <v>5.4220193031282352E-2</v>
      </c>
      <c r="M17" s="33">
        <f t="shared" si="12"/>
        <v>5.4220193031282352E-2</v>
      </c>
      <c r="N17" s="33">
        <f t="shared" si="12"/>
        <v>5.4220193031282352E-2</v>
      </c>
      <c r="O17" s="33">
        <f t="shared" si="12"/>
        <v>5.4220193031284662E-2</v>
      </c>
      <c r="P17" s="33">
        <f t="shared" si="12"/>
        <v>5.4220193031284662E-2</v>
      </c>
      <c r="Q17" s="33">
        <f t="shared" si="12"/>
        <v>5.4220193031284662E-2</v>
      </c>
      <c r="R17" s="33">
        <f t="shared" si="12"/>
        <v>5.4220193031284662E-2</v>
      </c>
      <c r="S17" s="33">
        <f t="shared" si="12"/>
        <v>5.4220193031284662E-2</v>
      </c>
      <c r="T17" s="33">
        <f t="shared" si="12"/>
        <v>5.4220193031284662E-2</v>
      </c>
      <c r="U17" s="33">
        <f t="shared" si="12"/>
        <v>5.4220193031284662E-2</v>
      </c>
    </row>
    <row r="18" spans="1:21" x14ac:dyDescent="0.2">
      <c r="A18" s="1" t="s">
        <v>15</v>
      </c>
      <c r="B18" s="26">
        <v>0.9</v>
      </c>
      <c r="C18">
        <v>0.81</v>
      </c>
      <c r="D18">
        <v>0.93</v>
      </c>
      <c r="E18">
        <v>1.32</v>
      </c>
      <c r="F18">
        <v>1.27</v>
      </c>
      <c r="G18">
        <v>1.18</v>
      </c>
      <c r="H18">
        <v>1.28</v>
      </c>
      <c r="I18">
        <v>1.27</v>
      </c>
      <c r="J18" s="1" t="s">
        <v>27</v>
      </c>
      <c r="K18">
        <v>1.18</v>
      </c>
      <c r="L18" s="26">
        <v>1.1000000000000001</v>
      </c>
      <c r="M18" s="26">
        <v>1.1000000000000001</v>
      </c>
      <c r="N18" s="26">
        <v>1.1000000000000001</v>
      </c>
      <c r="O18" s="26">
        <v>1.1000000000000001</v>
      </c>
      <c r="P18" s="26">
        <v>1.1000000000000001</v>
      </c>
      <c r="Q18" s="26">
        <v>1.1000000000000001</v>
      </c>
      <c r="R18" s="26">
        <v>1.1000000000000001</v>
      </c>
      <c r="S18" s="26">
        <v>1.1000000000000001</v>
      </c>
      <c r="T18" s="26">
        <v>1.1000000000000001</v>
      </c>
      <c r="U18" s="26">
        <v>1.1000000000000001</v>
      </c>
    </row>
    <row r="19" spans="1:21" x14ac:dyDescent="0.2">
      <c r="A19" s="1" t="s">
        <v>16</v>
      </c>
      <c r="B19" s="34">
        <f>B20+B18*(B21-B20)</f>
        <v>1.52E-2</v>
      </c>
      <c r="C19" s="34">
        <f t="shared" ref="C19:I19" si="13">C20+C18*(C21-C20)</f>
        <v>0.10240500000000001</v>
      </c>
      <c r="D19" s="34">
        <f t="shared" si="13"/>
        <v>0.204874</v>
      </c>
      <c r="E19" s="34">
        <f t="shared" si="13"/>
        <v>-6.725600000000001E-2</v>
      </c>
      <c r="F19" s="34">
        <f t="shared" si="13"/>
        <v>0.360539</v>
      </c>
      <c r="G19" s="34">
        <f t="shared" si="13"/>
        <v>0.21449199999999999</v>
      </c>
      <c r="H19" s="34">
        <f t="shared" si="13"/>
        <v>0.33889999999999998</v>
      </c>
      <c r="I19" s="34">
        <f t="shared" si="13"/>
        <v>-0.241094</v>
      </c>
      <c r="J19" s="1" t="s">
        <v>32</v>
      </c>
      <c r="K19" s="34">
        <f>K20+K18*(K21-K20)</f>
        <v>0.32812199999999991</v>
      </c>
      <c r="L19" s="34">
        <f t="shared" ref="L19:U19" si="14">L20+L18*(L21-L20)</f>
        <v>5.4220000000000004E-2</v>
      </c>
      <c r="M19" s="34">
        <f t="shared" si="14"/>
        <v>5.4220000000000004E-2</v>
      </c>
      <c r="N19" s="34">
        <f t="shared" si="14"/>
        <v>5.4220000000000004E-2</v>
      </c>
      <c r="O19" s="34">
        <f t="shared" si="14"/>
        <v>5.4220000000000004E-2</v>
      </c>
      <c r="P19" s="34">
        <f t="shared" si="14"/>
        <v>5.4220000000000004E-2</v>
      </c>
      <c r="Q19" s="34">
        <f t="shared" si="14"/>
        <v>5.4220000000000004E-2</v>
      </c>
      <c r="R19" s="34">
        <f t="shared" si="14"/>
        <v>5.4220000000000004E-2</v>
      </c>
      <c r="S19" s="34">
        <f t="shared" si="14"/>
        <v>5.4220000000000004E-2</v>
      </c>
      <c r="T19" s="34">
        <f t="shared" si="14"/>
        <v>5.4220000000000004E-2</v>
      </c>
      <c r="U19" s="34">
        <f t="shared" si="14"/>
        <v>5.4220000000000004E-2</v>
      </c>
    </row>
    <row r="20" spans="1:21" s="33" customFormat="1" x14ac:dyDescent="0.2">
      <c r="A20" s="35" t="s">
        <v>34</v>
      </c>
      <c r="B20" s="34">
        <v>2.7799999999999998E-2</v>
      </c>
      <c r="C20" s="33">
        <v>2.9100000000000001E-2</v>
      </c>
      <c r="D20" s="33">
        <v>2.6499999999999999E-2</v>
      </c>
      <c r="E20" s="33">
        <v>2.9499999999999998E-2</v>
      </c>
      <c r="F20" s="33">
        <v>2.3099999999999999E-2</v>
      </c>
      <c r="G20" s="33">
        <v>1.46E-2</v>
      </c>
      <c r="H20" s="33">
        <v>1.89E-2</v>
      </c>
      <c r="I20" s="34">
        <v>4.1099999999999998E-2</v>
      </c>
      <c r="J20" s="36" t="s">
        <v>33</v>
      </c>
      <c r="K20" s="34">
        <v>4.1500000000000002E-2</v>
      </c>
      <c r="L20" s="34">
        <v>4.5199999999999997E-2</v>
      </c>
      <c r="M20" s="34">
        <v>4.5199999999999997E-2</v>
      </c>
      <c r="N20" s="34">
        <v>4.5199999999999997E-2</v>
      </c>
      <c r="O20" s="34">
        <v>4.5199999999999997E-2</v>
      </c>
      <c r="P20" s="34">
        <v>4.5199999999999997E-2</v>
      </c>
      <c r="Q20" s="34">
        <v>4.5199999999999997E-2</v>
      </c>
      <c r="R20" s="34">
        <v>4.5199999999999997E-2</v>
      </c>
      <c r="S20" s="34">
        <v>4.5199999999999997E-2</v>
      </c>
      <c r="T20" s="34">
        <v>4.5199999999999997E-2</v>
      </c>
      <c r="U20" s="34">
        <v>4.5199999999999997E-2</v>
      </c>
    </row>
    <row r="21" spans="1:21" s="33" customFormat="1" x14ac:dyDescent="0.2">
      <c r="A21" s="35" t="s">
        <v>36</v>
      </c>
      <c r="B21" s="34">
        <v>1.38E-2</v>
      </c>
      <c r="C21" s="33">
        <v>0.1196</v>
      </c>
      <c r="D21" s="33">
        <v>0.21829999999999999</v>
      </c>
      <c r="E21" s="33">
        <v>-4.3799999999999999E-2</v>
      </c>
      <c r="F21" s="33">
        <v>0.2888</v>
      </c>
      <c r="G21" s="33">
        <v>0.184</v>
      </c>
      <c r="H21" s="33">
        <v>0.26889999999999997</v>
      </c>
      <c r="I21" s="34">
        <v>-0.18110000000000001</v>
      </c>
      <c r="J21" s="35" t="s">
        <v>35</v>
      </c>
      <c r="K21" s="34">
        <v>0.28439999999999999</v>
      </c>
      <c r="L21" s="34">
        <v>5.3400000000000003E-2</v>
      </c>
      <c r="M21" s="34">
        <v>5.3400000000000003E-2</v>
      </c>
      <c r="N21" s="34">
        <v>5.3400000000000003E-2</v>
      </c>
      <c r="O21" s="34">
        <v>5.3400000000000003E-2</v>
      </c>
      <c r="P21" s="34">
        <v>5.3400000000000003E-2</v>
      </c>
      <c r="Q21" s="34">
        <v>5.3400000000000003E-2</v>
      </c>
      <c r="R21" s="34">
        <v>5.3400000000000003E-2</v>
      </c>
      <c r="S21" s="34">
        <v>5.3400000000000003E-2</v>
      </c>
      <c r="T21" s="34">
        <v>5.3400000000000003E-2</v>
      </c>
      <c r="U21" s="34">
        <v>5.3400000000000003E-2</v>
      </c>
    </row>
    <row r="22" spans="1:21" s="33" customFormat="1" x14ac:dyDescent="0.2">
      <c r="A22" s="35" t="s">
        <v>17</v>
      </c>
      <c r="B22" s="34">
        <f>932/1079</f>
        <v>0.86376274328081559</v>
      </c>
      <c r="C22" s="33">
        <f>863/2010</f>
        <v>0.42935323383084578</v>
      </c>
      <c r="D22" s="33">
        <f>646/3471</f>
        <v>0.18611351195620859</v>
      </c>
      <c r="E22" s="33">
        <f>2392/3468</f>
        <v>0.68973471741637826</v>
      </c>
      <c r="F22" s="33">
        <f>772/3464</f>
        <v>0.22286374133949191</v>
      </c>
      <c r="G22" s="33">
        <f>348/9406</f>
        <v>3.6997661067403785E-2</v>
      </c>
      <c r="H22" s="33">
        <f>934/9413</f>
        <v>9.9224476787421648E-2</v>
      </c>
      <c r="I22" s="34">
        <f>605/8920</f>
        <v>6.782511210762332E-2</v>
      </c>
      <c r="J22" t="s">
        <v>26</v>
      </c>
      <c r="K22" s="34">
        <f>1131/8927</f>
        <v>0.12669429819648259</v>
      </c>
      <c r="L22" s="34">
        <f>1000/7903</f>
        <v>0.12653422750854107</v>
      </c>
      <c r="M22" s="34">
        <f t="shared" ref="M22:U22" si="15">1000/7903</f>
        <v>0.12653422750854107</v>
      </c>
      <c r="N22" s="34">
        <f t="shared" si="15"/>
        <v>0.12653422750854107</v>
      </c>
      <c r="O22" s="34">
        <f t="shared" si="15"/>
        <v>0.12653422750854107</v>
      </c>
      <c r="P22" s="34">
        <f t="shared" si="15"/>
        <v>0.12653422750854107</v>
      </c>
      <c r="Q22" s="34">
        <f t="shared" si="15"/>
        <v>0.12653422750854107</v>
      </c>
      <c r="R22" s="34">
        <f t="shared" si="15"/>
        <v>0.12653422750854107</v>
      </c>
      <c r="S22" s="34">
        <f t="shared" si="15"/>
        <v>0.12653422750854107</v>
      </c>
      <c r="T22" s="34">
        <f t="shared" si="15"/>
        <v>0.12653422750854107</v>
      </c>
      <c r="U22" s="34">
        <f t="shared" si="15"/>
        <v>0.12653422750854107</v>
      </c>
    </row>
    <row r="23" spans="1:21" s="26" customFormat="1" x14ac:dyDescent="0.2">
      <c r="A23" s="38" t="s">
        <v>18</v>
      </c>
      <c r="B23" s="37">
        <f>1079/21597</f>
        <v>4.9960642681853962E-2</v>
      </c>
      <c r="C23" s="26">
        <f>2010/21396</f>
        <v>9.3942793045429046E-2</v>
      </c>
      <c r="D23" s="26">
        <f>3471/23259</f>
        <v>0.14923255513994582</v>
      </c>
      <c r="E23" s="26">
        <f>3468/22536</f>
        <v>0.15388711395101171</v>
      </c>
      <c r="F23" s="26">
        <f>3464/23717</f>
        <v>0.14605557195260782</v>
      </c>
      <c r="G23" s="26">
        <f>9406/31342</f>
        <v>0.30010848063301637</v>
      </c>
      <c r="H23" s="26">
        <f>9413/37740</f>
        <v>0.24941706412294648</v>
      </c>
      <c r="I23" s="37">
        <f>8920/40321</f>
        <v>0.22122467200714269</v>
      </c>
      <c r="J23" s="26" t="s">
        <v>26</v>
      </c>
      <c r="K23" s="37">
        <f>8927/37531</f>
        <v>0.23785670512376436</v>
      </c>
      <c r="L23" s="37">
        <f>7903/38110</f>
        <v>0.20737339281028602</v>
      </c>
      <c r="M23" s="37">
        <f t="shared" ref="M23:U23" si="16">7903/38110</f>
        <v>0.20737339281028602</v>
      </c>
      <c r="N23" s="37">
        <f t="shared" si="16"/>
        <v>0.20737339281028602</v>
      </c>
      <c r="O23" s="37">
        <f t="shared" si="16"/>
        <v>0.20737339281028602</v>
      </c>
      <c r="P23" s="37">
        <f t="shared" si="16"/>
        <v>0.20737339281028602</v>
      </c>
      <c r="Q23" s="37">
        <f t="shared" si="16"/>
        <v>0.20737339281028602</v>
      </c>
      <c r="R23" s="37">
        <f t="shared" si="16"/>
        <v>0.20737339281028602</v>
      </c>
      <c r="S23" s="37">
        <f t="shared" si="16"/>
        <v>0.20737339281028602</v>
      </c>
      <c r="T23" s="37">
        <f t="shared" si="16"/>
        <v>0.20737339281028602</v>
      </c>
      <c r="U23" s="37">
        <f t="shared" si="16"/>
        <v>0.20737339281028602</v>
      </c>
    </row>
    <row r="24" spans="1:21" x14ac:dyDescent="0.2">
      <c r="A24" t="s">
        <v>28</v>
      </c>
      <c r="B24" s="60">
        <f>B15/(1+B17)</f>
        <v>2473.401626356419</v>
      </c>
      <c r="C24" s="60">
        <f t="shared" ref="C24:I24" si="17">C15/(1+C17)</f>
        <v>4682.4869840881829</v>
      </c>
      <c r="D24" s="60">
        <f t="shared" si="17"/>
        <v>4104.9948101608488</v>
      </c>
      <c r="E24" s="60">
        <f t="shared" si="17"/>
        <v>2418.6630644605398</v>
      </c>
      <c r="F24" s="60">
        <f t="shared" si="17"/>
        <v>2296.149869404454</v>
      </c>
      <c r="G24" s="60">
        <f t="shared" si="17"/>
        <v>2312.9035455038033</v>
      </c>
      <c r="H24" s="60">
        <f t="shared" si="17"/>
        <v>4209.4288429156659</v>
      </c>
      <c r="I24" s="60">
        <f t="shared" si="17"/>
        <v>9374.0048055358129</v>
      </c>
      <c r="J24" t="s">
        <v>38</v>
      </c>
      <c r="K24" s="60">
        <f>K15/(1+K17)</f>
        <v>6409.8219980660742</v>
      </c>
      <c r="L24" s="60">
        <f t="shared" ref="L24:U24" si="18">L15/(1+L17)</f>
        <v>10192.494531720457</v>
      </c>
      <c r="M24" s="60">
        <f t="shared" si="18"/>
        <v>12864.966597937559</v>
      </c>
      <c r="N24" s="60">
        <f t="shared" si="18"/>
        <v>16238.160839916789</v>
      </c>
      <c r="O24" s="60">
        <f t="shared" si="18"/>
        <v>20495.806612142926</v>
      </c>
      <c r="P24" s="60">
        <f t="shared" si="18"/>
        <v>25869.807105846801</v>
      </c>
      <c r="Q24" s="60">
        <f t="shared" si="18"/>
        <v>32652.870528999836</v>
      </c>
      <c r="R24" s="60">
        <f t="shared" si="18"/>
        <v>41214.45318170359</v>
      </c>
      <c r="S24" s="60">
        <f t="shared" si="18"/>
        <v>52020.882805946268</v>
      </c>
      <c r="T24" s="60">
        <f t="shared" si="18"/>
        <v>65660.758277665373</v>
      </c>
      <c r="U24" s="60">
        <f t="shared" si="18"/>
        <v>82877.009098069233</v>
      </c>
    </row>
    <row r="25" spans="1:21" ht="16" thickBot="1" x14ac:dyDescent="0.25">
      <c r="L25" s="2"/>
      <c r="M25" s="2"/>
      <c r="N25" s="2"/>
      <c r="O25" s="2"/>
    </row>
    <row r="26" spans="1:21" x14ac:dyDescent="0.2">
      <c r="A26" s="17" t="s">
        <v>24</v>
      </c>
      <c r="B26" s="61">
        <f>B24/(1+B17)^2</f>
        <v>2399.8853832690129</v>
      </c>
      <c r="C26" s="61">
        <f>C24/(1+C17)^2</f>
        <v>3852.9532197829767</v>
      </c>
      <c r="D26" s="61">
        <f>D24/(1+D17)^3</f>
        <v>2346.865028749658</v>
      </c>
      <c r="E26" s="61">
        <f>E24/(1+E17)^4</f>
        <v>3195.3650549324216</v>
      </c>
      <c r="F26" s="61">
        <f>F24/(1+F17)^5</f>
        <v>492.54539149755578</v>
      </c>
      <c r="G26" s="61">
        <f>G24/(1+G17)^6</f>
        <v>720.76255783591671</v>
      </c>
      <c r="H26" s="61">
        <f>H24/(1+H17)^7</f>
        <v>545.7433959715022</v>
      </c>
      <c r="I26" s="61">
        <f>I24/(1+I17)^8</f>
        <v>85195.30452433441</v>
      </c>
      <c r="K26" s="60">
        <f>K24/(1+K17)^9</f>
        <v>498.54792744057625</v>
      </c>
      <c r="L26" s="60">
        <f>L24/(1+L17)^10</f>
        <v>6011.2830899533037</v>
      </c>
      <c r="M26" s="60">
        <f>M24/(1+M17)^11</f>
        <v>7197.2075343408951</v>
      </c>
      <c r="N26" s="60">
        <f>N24/(1+N17)^12</f>
        <v>8617.0948060900173</v>
      </c>
      <c r="O26" s="60">
        <f>O24/(1+O17)^13</f>
        <v>10317.101812451958</v>
      </c>
      <c r="P26" s="60">
        <f>P24/(1+P17)^14</f>
        <v>12352.491437517378</v>
      </c>
      <c r="Q26" s="60">
        <f>Q24/(1+Q17)^15</f>
        <v>14789.428997374323</v>
      </c>
      <c r="R26" s="60">
        <f>R24/(1+R17)^16</f>
        <v>17707.133105476292</v>
      </c>
      <c r="S26" s="60">
        <f>S24/(1+S17)^17</f>
        <v>21200.450867353975</v>
      </c>
      <c r="T26" s="60">
        <f>T24/(1+T17)^18</f>
        <v>25382.941117672268</v>
      </c>
      <c r="U26" s="60">
        <f>U24/(1+U17)^19</f>
        <v>30390.565927791115</v>
      </c>
    </row>
    <row r="27" spans="1:21" x14ac:dyDescent="0.2">
      <c r="A27" s="18" t="s">
        <v>25</v>
      </c>
      <c r="B27" s="65">
        <f t="shared" ref="B27:I27" si="19">B26*(1+0.03)/(B17-0.03)</f>
        <v>-167031.22836097173</v>
      </c>
      <c r="C27" s="65">
        <f t="shared" si="19"/>
        <v>54809.853546981409</v>
      </c>
      <c r="D27" s="65">
        <f t="shared" si="19"/>
        <v>13822.958744807182</v>
      </c>
      <c r="E27" s="65">
        <f t="shared" si="19"/>
        <v>-33841.793764220216</v>
      </c>
      <c r="F27" s="65">
        <f t="shared" si="19"/>
        <v>1534.834680888544</v>
      </c>
      <c r="G27" s="65">
        <f t="shared" si="19"/>
        <v>4023.9706752854186</v>
      </c>
      <c r="H27" s="65">
        <f t="shared" si="19"/>
        <v>1819.7395504641183</v>
      </c>
      <c r="I27" s="65">
        <f t="shared" si="19"/>
        <v>-323694.22074865946</v>
      </c>
      <c r="K27" s="65">
        <f t="shared" ref="K27" si="20">K26*(1+0.03)/(K17-0.03)</f>
        <v>1722.4691075495541</v>
      </c>
      <c r="L27" s="65">
        <f t="shared" ref="L27" si="21">L26*(1+0.03)/(L17-0.03)</f>
        <v>255638.82065906408</v>
      </c>
      <c r="M27" s="65">
        <f t="shared" ref="M27" si="22">M26*(1+0.03)/(M17-0.03)</f>
        <v>306072.03463640728</v>
      </c>
      <c r="N27" s="65">
        <f t="shared" ref="N27" si="23">N26*(1+0.03)/(N17-0.03)</f>
        <v>366454.86841534032</v>
      </c>
      <c r="O27" s="65">
        <f t="shared" ref="O27" si="24">O26*(1+0.03)/(O17-0.03)</f>
        <v>438750.21363782545</v>
      </c>
      <c r="P27" s="65">
        <f t="shared" ref="P27" si="25">P26*(1+0.03)/(P17-0.03)</f>
        <v>525308.20725535962</v>
      </c>
      <c r="Q27" s="65">
        <f t="shared" ref="Q27" si="26">Q26*(1+0.03)/(Q17-0.03)</f>
        <v>628942.62847613532</v>
      </c>
      <c r="R27" s="65">
        <f t="shared" ref="R27" si="27">R26*(1+0.03)/(R17-0.03)</f>
        <v>753022.36753780325</v>
      </c>
      <c r="S27" s="65">
        <f t="shared" ref="S27" si="28">S26*(1+0.03)/(S17-0.03)</f>
        <v>901580.93972120446</v>
      </c>
      <c r="T27" s="65">
        <f t="shared" ref="T27" si="29">T26*(1+0.03)/(T17-0.03)</f>
        <v>1079447.6046261184</v>
      </c>
      <c r="U27" s="65">
        <f t="shared" ref="U27" si="30">U26*(1+0.03)/(U17-0.03)</f>
        <v>1292404.3530616132</v>
      </c>
    </row>
    <row r="28" spans="1:21" x14ac:dyDescent="0.2">
      <c r="A28" s="18" t="s">
        <v>20</v>
      </c>
      <c r="B28" s="65">
        <f>B26+B27</f>
        <v>-164631.3429777027</v>
      </c>
      <c r="C28" s="65">
        <f t="shared" ref="C28:U28" si="31">C26+C27</f>
        <v>58662.806766764385</v>
      </c>
      <c r="D28" s="65">
        <f t="shared" si="31"/>
        <v>16169.82377355684</v>
      </c>
      <c r="E28" s="65">
        <f t="shared" si="31"/>
        <v>-30646.428709287793</v>
      </c>
      <c r="F28" s="65">
        <f t="shared" si="31"/>
        <v>2027.3800723860998</v>
      </c>
      <c r="G28" s="65">
        <f t="shared" si="31"/>
        <v>4744.7332331213356</v>
      </c>
      <c r="H28" s="65">
        <f t="shared" si="31"/>
        <v>2365.4829464356208</v>
      </c>
      <c r="I28" s="65">
        <f t="shared" si="31"/>
        <v>-238498.91622432505</v>
      </c>
      <c r="K28" s="65">
        <f t="shared" si="31"/>
        <v>2221.0170349901305</v>
      </c>
      <c r="L28" s="65">
        <f t="shared" si="31"/>
        <v>261650.10374901738</v>
      </c>
      <c r="M28" s="65">
        <f t="shared" si="31"/>
        <v>313269.24217074818</v>
      </c>
      <c r="N28" s="65">
        <f t="shared" si="31"/>
        <v>375071.96322143031</v>
      </c>
      <c r="O28" s="65">
        <f t="shared" si="31"/>
        <v>449067.31545027741</v>
      </c>
      <c r="P28" s="65">
        <f t="shared" si="31"/>
        <v>537660.69869287696</v>
      </c>
      <c r="Q28" s="65">
        <f t="shared" si="31"/>
        <v>643732.05747350969</v>
      </c>
      <c r="R28" s="65">
        <f t="shared" si="31"/>
        <v>770729.50064327952</v>
      </c>
      <c r="S28" s="65">
        <f t="shared" si="31"/>
        <v>922781.3905885584</v>
      </c>
      <c r="T28" s="65">
        <f t="shared" si="31"/>
        <v>1104830.5457437907</v>
      </c>
      <c r="U28" s="65">
        <f t="shared" si="31"/>
        <v>1322794.9189894043</v>
      </c>
    </row>
    <row r="29" spans="1:21" x14ac:dyDescent="0.2">
      <c r="A29" s="18" t="s">
        <v>22</v>
      </c>
      <c r="B29" s="62">
        <f>B9</f>
        <v>0.15930902111324377</v>
      </c>
      <c r="C29" s="62">
        <f t="shared" ref="C29:U29" si="32">C9</f>
        <v>0.25815566401232981</v>
      </c>
      <c r="D29" s="62">
        <f t="shared" si="32"/>
        <v>0.60788091068301231</v>
      </c>
      <c r="E29" s="62">
        <f t="shared" si="32"/>
        <v>0.54323308270676696</v>
      </c>
      <c r="F29" s="62">
        <f t="shared" si="32"/>
        <v>0.4835962585508865</v>
      </c>
      <c r="G29" s="62">
        <f t="shared" si="32"/>
        <v>1.1333895650078323</v>
      </c>
      <c r="H29" s="62">
        <f t="shared" si="32"/>
        <v>0.94460612142498745</v>
      </c>
      <c r="I29" s="62">
        <f t="shared" si="32"/>
        <v>0.77673284569836298</v>
      </c>
      <c r="K29" s="62">
        <f t="shared" si="32"/>
        <v>0.71922333225910406</v>
      </c>
      <c r="L29" s="62">
        <f t="shared" si="32"/>
        <v>0.5893802669848609</v>
      </c>
      <c r="M29" s="62">
        <f t="shared" si="32"/>
        <v>0.5893802669848609</v>
      </c>
      <c r="N29" s="62">
        <f t="shared" si="32"/>
        <v>0.5893802669848609</v>
      </c>
      <c r="O29" s="62">
        <f t="shared" si="32"/>
        <v>0.5893802669848609</v>
      </c>
      <c r="P29" s="62">
        <f t="shared" si="32"/>
        <v>0.5893802669848609</v>
      </c>
      <c r="Q29" s="62">
        <f t="shared" si="32"/>
        <v>0.5893802669848609</v>
      </c>
      <c r="R29" s="62">
        <f t="shared" si="32"/>
        <v>0.5893802669848609</v>
      </c>
      <c r="S29" s="62">
        <f t="shared" si="32"/>
        <v>0.5893802669848609</v>
      </c>
      <c r="T29" s="62">
        <f t="shared" si="32"/>
        <v>0.5893802669848609</v>
      </c>
      <c r="U29" s="62">
        <f t="shared" si="32"/>
        <v>0.5893802669848609</v>
      </c>
    </row>
    <row r="30" spans="1:21" x14ac:dyDescent="0.2">
      <c r="A30" s="18" t="s">
        <v>23</v>
      </c>
      <c r="B30" s="19">
        <f>B3*'Finalised model'!B15</f>
        <v>98500.049999999988</v>
      </c>
      <c r="C30" s="64">
        <f>C3*'Finalised model'!C15</f>
        <v>97478.354166666657</v>
      </c>
      <c r="D30" s="64">
        <f>D3*'Finalised model'!D15</f>
        <v>95155.260000000009</v>
      </c>
      <c r="E30" s="64">
        <f>E3*'Finalised model'!E15</f>
        <v>123007.05658333331</v>
      </c>
      <c r="F30" s="64">
        <f>F3*'Finalised model'!F15</f>
        <v>141547.96133333337</v>
      </c>
      <c r="G30" s="64">
        <f>G3*'Finalised model'!G15</f>
        <v>170237.53599999996</v>
      </c>
      <c r="H30" s="64">
        <f>H3*'Finalised model'!H15</f>
        <v>242148.98283333331</v>
      </c>
      <c r="I30" s="64">
        <f>I3*'Finalised model'!I15</f>
        <v>186423.25333333333</v>
      </c>
      <c r="K30" s="64">
        <f>K3*'Finalised model'!K15</f>
        <v>179931.72933333329</v>
      </c>
      <c r="L30" s="64">
        <f>L3*'Finalised model'!L15</f>
        <v>139663.07166666663</v>
      </c>
      <c r="M30" s="64">
        <f>M3*'Finalised model'!M15</f>
        <v>139663.07166666663</v>
      </c>
      <c r="N30" s="64">
        <f>N3*'Finalised model'!N15</f>
        <v>139663.07166666663</v>
      </c>
      <c r="O30" s="64">
        <v>139663.07</v>
      </c>
      <c r="P30" s="64">
        <v>139663.07</v>
      </c>
      <c r="Q30" s="64">
        <v>139663.07</v>
      </c>
      <c r="R30" s="64">
        <v>139663.07</v>
      </c>
      <c r="S30" s="64">
        <v>139663.07</v>
      </c>
      <c r="T30" s="64">
        <v>139663.07</v>
      </c>
      <c r="U30" s="64">
        <v>139663.07</v>
      </c>
    </row>
    <row r="31" spans="1:21" ht="16" thickBot="1" x14ac:dyDescent="0.25">
      <c r="A31" s="20" t="s">
        <v>21</v>
      </c>
      <c r="B31" s="63">
        <f>B3</f>
        <v>55.687499999999993</v>
      </c>
      <c r="C31" s="63">
        <f t="shared" ref="C31:U31" si="33">C3</f>
        <v>55.941666666666663</v>
      </c>
      <c r="D31" s="63">
        <f t="shared" si="33"/>
        <v>56.238333333333337</v>
      </c>
      <c r="E31" s="63">
        <f t="shared" si="33"/>
        <v>74.140833333333319</v>
      </c>
      <c r="F31" s="63">
        <f t="shared" si="33"/>
        <v>87.461666666666687</v>
      </c>
      <c r="G31" s="63">
        <f t="shared" si="33"/>
        <v>106.95999999999998</v>
      </c>
      <c r="H31" s="63">
        <f t="shared" si="33"/>
        <v>150.45916666666665</v>
      </c>
      <c r="I31" s="63">
        <f t="shared" si="33"/>
        <v>115.73333333333333</v>
      </c>
      <c r="K31" s="63">
        <f t="shared" si="33"/>
        <v>111.70333333333332</v>
      </c>
      <c r="L31" s="63">
        <f t="shared" si="33"/>
        <v>86.704166666666652</v>
      </c>
      <c r="M31" s="63">
        <f t="shared" si="33"/>
        <v>86.704166666666652</v>
      </c>
      <c r="N31" s="63">
        <f t="shared" si="33"/>
        <v>86.704166666666652</v>
      </c>
      <c r="O31" s="63">
        <f t="shared" si="33"/>
        <v>86.704166666666652</v>
      </c>
      <c r="P31" s="63">
        <f t="shared" si="33"/>
        <v>86.704166666666652</v>
      </c>
      <c r="Q31" s="63">
        <f t="shared" si="33"/>
        <v>86.704166666666652</v>
      </c>
      <c r="R31" s="63">
        <f t="shared" si="33"/>
        <v>86.704166666666652</v>
      </c>
      <c r="S31" s="63">
        <f t="shared" si="33"/>
        <v>86.704166666666652</v>
      </c>
      <c r="T31" s="63">
        <f t="shared" si="33"/>
        <v>86.704166666666652</v>
      </c>
      <c r="U31" s="63">
        <f t="shared" si="33"/>
        <v>86.704166666666652</v>
      </c>
    </row>
    <row r="36" ht="14" customHeight="1" x14ac:dyDescent="0.2"/>
  </sheetData>
  <hyperlinks>
    <hyperlink ref="J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EA67C-1FFB-3F49-8465-F3486C501C14}">
  <dimension ref="A1:O73"/>
  <sheetViews>
    <sheetView workbookViewId="0">
      <selection activeCell="B15" sqref="B1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52.5" customWidth="1"/>
  </cols>
  <sheetData>
    <row r="1" spans="1:15" ht="60" customHeight="1" x14ac:dyDescent="0.25">
      <c r="A1" s="39" t="s">
        <v>44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  <c r="J1" s="40">
        <f>+I1+1</f>
        <v>2023</v>
      </c>
      <c r="K1" s="40">
        <f>+J1+1</f>
        <v>2024</v>
      </c>
      <c r="L1" s="40">
        <f>+K1+1</f>
        <v>2025</v>
      </c>
      <c r="M1" s="40">
        <f>+L1+1</f>
        <v>2026</v>
      </c>
      <c r="N1" s="40">
        <f>+M1+1</f>
        <v>2027</v>
      </c>
      <c r="O1" s="41" t="s">
        <v>45</v>
      </c>
    </row>
    <row r="2" spans="1:15" x14ac:dyDescent="0.2">
      <c r="A2" s="42" t="s">
        <v>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x14ac:dyDescent="0.2">
      <c r="A3" s="43" t="s">
        <v>47</v>
      </c>
      <c r="B3" s="44">
        <f>'[1]Segmental forecast'!B3</f>
        <v>30601</v>
      </c>
      <c r="C3" s="44">
        <f>'[1]Segmental forecast'!C3</f>
        <v>32376</v>
      </c>
      <c r="D3" s="44">
        <f>'[1]Segmental forecast'!D3</f>
        <v>34350</v>
      </c>
      <c r="E3" s="44">
        <f>'[1]Segmental forecast'!E3</f>
        <v>36397</v>
      </c>
      <c r="F3" s="44">
        <f>'[1]Segmental forecast'!F3</f>
        <v>39117</v>
      </c>
      <c r="G3" s="44">
        <f>'[1]Segmental forecast'!G3</f>
        <v>37403</v>
      </c>
      <c r="H3" s="44">
        <f>'[1]Segmental forecast'!H3</f>
        <v>44538</v>
      </c>
      <c r="I3" s="44">
        <f>'[1]Segmental forecast'!I3</f>
        <v>46710</v>
      </c>
      <c r="J3" s="44">
        <f>'[1]Segmental forecast'!J3</f>
        <v>48998.789999999994</v>
      </c>
      <c r="K3" s="44">
        <f>'[1]Segmental forecast'!K3</f>
        <v>51399.730709999989</v>
      </c>
      <c r="L3" s="44">
        <f>'[1]Segmental forecast'!L3</f>
        <v>53918.317514789982</v>
      </c>
      <c r="M3" s="44">
        <f>'[1]Segmental forecast'!M3</f>
        <v>56560.315073014688</v>
      </c>
      <c r="N3" s="44">
        <f>'[1]Segmental forecast'!N3</f>
        <v>59331.770511592404</v>
      </c>
    </row>
    <row r="4" spans="1:15" x14ac:dyDescent="0.2">
      <c r="A4" s="45" t="s">
        <v>14</v>
      </c>
      <c r="B4" s="46" t="str">
        <f>'[1]Segmental forecast'!B4</f>
        <v>nm</v>
      </c>
      <c r="C4" s="46">
        <f>'[1]Segmental forecast'!C4</f>
        <v>5.8004640371229765E-2</v>
      </c>
      <c r="D4" s="46">
        <f>'[1]Segmental forecast'!D4</f>
        <v>6.0971089696071123E-2</v>
      </c>
      <c r="E4" s="46">
        <f>'[1]Segmental forecast'!E4</f>
        <v>5.95924308588065E-2</v>
      </c>
      <c r="F4" s="46">
        <f>'[1]Segmental forecast'!F4</f>
        <v>7.4731433909388079E-2</v>
      </c>
      <c r="G4" s="46">
        <f>'[1]Segmental forecast'!G4</f>
        <v>-4.3817266150267153E-2</v>
      </c>
      <c r="H4" s="46">
        <f>'[1]Segmental forecast'!H4</f>
        <v>0.19076009945726269</v>
      </c>
      <c r="I4" s="46">
        <f>'[1]Segmental forecast'!I4</f>
        <v>4.8767344739323759E-2</v>
      </c>
      <c r="J4" s="46">
        <f>'[1]Segmental forecast'!J4</f>
        <v>4.9000000000000002E-2</v>
      </c>
      <c r="K4" s="46">
        <f>'[1]Segmental forecast'!K4</f>
        <v>4.9000000000000002E-2</v>
      </c>
      <c r="L4" s="46">
        <f>'[1]Segmental forecast'!L4</f>
        <v>4.9000000000000002E-2</v>
      </c>
      <c r="M4" s="46">
        <f>'[1]Segmental forecast'!M4</f>
        <v>4.9000000000000002E-2</v>
      </c>
      <c r="N4" s="46">
        <f>'[1]Segmental forecast'!N4</f>
        <v>4.9000000000000002E-2</v>
      </c>
    </row>
    <row r="5" spans="1:15" x14ac:dyDescent="0.2">
      <c r="A5" s="43" t="s">
        <v>48</v>
      </c>
      <c r="B5" s="44">
        <f>'[1]Segmental forecast'!B5</f>
        <v>4839</v>
      </c>
      <c r="C5" s="44">
        <f>'[1]Segmental forecast'!C5</f>
        <v>5291</v>
      </c>
      <c r="D5" s="44">
        <f>'[1]Segmental forecast'!D5</f>
        <v>5651</v>
      </c>
      <c r="E5" s="44">
        <f>'[1]Segmental forecast'!E5</f>
        <v>5126</v>
      </c>
      <c r="F5" s="44">
        <f>'[1]Segmental forecast'!F5</f>
        <v>5555</v>
      </c>
      <c r="G5" s="44">
        <f>'[1]Segmental forecast'!G5</f>
        <v>3697</v>
      </c>
      <c r="H5" s="44">
        <f>'[1]Segmental forecast'!H5</f>
        <v>7667</v>
      </c>
      <c r="I5" s="44">
        <f>'[1]Segmental forecast'!I5</f>
        <v>7573</v>
      </c>
      <c r="J5" s="44">
        <f>'[1]Segmental forecast'!J5</f>
        <v>7944.0769999999993</v>
      </c>
      <c r="K5" s="44">
        <f>'[1]Segmental forecast'!K5</f>
        <v>8333.3367729999973</v>
      </c>
      <c r="L5" s="44">
        <f>'[1]Segmental forecast'!L5</f>
        <v>8741.6702748769967</v>
      </c>
      <c r="M5" s="44">
        <f>'[1]Segmental forecast'!M5</f>
        <v>9170.0121183459687</v>
      </c>
      <c r="N5" s="44">
        <f>'[1]Segmental forecast'!N5</f>
        <v>9619.3427121449204</v>
      </c>
    </row>
    <row r="6" spans="1:15" x14ac:dyDescent="0.2">
      <c r="A6" s="47" t="s">
        <v>49</v>
      </c>
      <c r="B6" s="48">
        <f>'[1]Segmental forecast'!B8</f>
        <v>606</v>
      </c>
      <c r="C6" s="48">
        <f>'[1]Segmental forecast'!C8</f>
        <v>649</v>
      </c>
      <c r="D6" s="48">
        <f>'[1]Segmental forecast'!D8</f>
        <v>706</v>
      </c>
      <c r="E6" s="48">
        <f>'[1]Segmental forecast'!E8</f>
        <v>747</v>
      </c>
      <c r="F6" s="48">
        <f>'[1]Segmental forecast'!F8</f>
        <v>705</v>
      </c>
      <c r="G6" s="48">
        <f>'[1]Segmental forecast'!G8</f>
        <v>721</v>
      </c>
      <c r="H6" s="48">
        <f>'[1]Segmental forecast'!H8</f>
        <v>744</v>
      </c>
      <c r="I6" s="48">
        <f>'[1]Segmental forecast'!I8</f>
        <v>717</v>
      </c>
      <c r="J6" s="48">
        <f>'[1]Segmental forecast'!J8</f>
        <v>752.13299999999992</v>
      </c>
      <c r="K6" s="48">
        <f>'[1]Segmental forecast'!K8</f>
        <v>788.9875169999998</v>
      </c>
      <c r="L6" s="48">
        <f>'[1]Segmental forecast'!L8</f>
        <v>827.6479053329997</v>
      </c>
      <c r="M6" s="48">
        <f>'[1]Segmental forecast'!M8</f>
        <v>868.20265269431661</v>
      </c>
      <c r="N6" s="48">
        <f>'[1]Segmental forecast'!N8</f>
        <v>910.74458267633804</v>
      </c>
    </row>
    <row r="7" spans="1:15" x14ac:dyDescent="0.2">
      <c r="A7" s="43" t="s">
        <v>50</v>
      </c>
      <c r="B7" s="44">
        <f>'[1]Segmental forecast'!B11</f>
        <v>4233</v>
      </c>
      <c r="C7" s="44">
        <f>'[1]Segmental forecast'!C11</f>
        <v>4642</v>
      </c>
      <c r="D7" s="44">
        <f>'[1]Segmental forecast'!D11</f>
        <v>4945</v>
      </c>
      <c r="E7" s="44">
        <f>'[1]Segmental forecast'!E11</f>
        <v>4379</v>
      </c>
      <c r="F7" s="44">
        <f>'[1]Segmental forecast'!F11</f>
        <v>4850</v>
      </c>
      <c r="G7" s="44">
        <f>'[1]Segmental forecast'!G11</f>
        <v>2976</v>
      </c>
      <c r="H7" s="44">
        <f>'[1]Segmental forecast'!H11</f>
        <v>6923</v>
      </c>
      <c r="I7" s="44">
        <f>'[1]Segmental forecast'!I11</f>
        <v>6856</v>
      </c>
      <c r="J7" s="44">
        <f>'[1]Segmental forecast'!J11</f>
        <v>7191.9439999999995</v>
      </c>
      <c r="K7" s="44">
        <f>'[1]Segmental forecast'!K11</f>
        <v>7544.3492559999977</v>
      </c>
      <c r="L7" s="44">
        <f>'[1]Segmental forecast'!L11</f>
        <v>7914.0223695439972</v>
      </c>
      <c r="M7" s="44">
        <f>'[1]Segmental forecast'!M11</f>
        <v>8301.8094656516514</v>
      </c>
      <c r="N7" s="44">
        <f>'[1]Segmental forecast'!N11</f>
        <v>8708.5981294685826</v>
      </c>
    </row>
    <row r="8" spans="1:15" x14ac:dyDescent="0.2">
      <c r="A8" s="45" t="s">
        <v>14</v>
      </c>
      <c r="B8" s="46" t="str">
        <f>'[1]Segmental forecast'!B12</f>
        <v>nm</v>
      </c>
      <c r="C8" s="46">
        <f>'[1]Segmental forecast'!C12</f>
        <v>9.6621781242617555E-2</v>
      </c>
      <c r="D8" s="46">
        <f>'[1]Segmental forecast'!D12</f>
        <v>6.5273588970271357E-2</v>
      </c>
      <c r="E8" s="46">
        <f>'[1]Segmental forecast'!E12</f>
        <v>-0.11445904954499497</v>
      </c>
      <c r="F8" s="46">
        <f>'[1]Segmental forecast'!F12</f>
        <v>0.10755880337976698</v>
      </c>
      <c r="G8" s="46">
        <f>'[1]Segmental forecast'!G12</f>
        <v>-0.38639175257731961</v>
      </c>
      <c r="H8" s="46">
        <f>'[1]Segmental forecast'!H12</f>
        <v>1.32627688172043</v>
      </c>
      <c r="I8" s="46">
        <f>'[1]Segmental forecast'!I12</f>
        <v>-9.67788530983682E-3</v>
      </c>
      <c r="J8" s="46">
        <f>'[1]Segmental forecast'!J12</f>
        <v>4.8999999999999932E-2</v>
      </c>
      <c r="K8" s="46">
        <f>'[1]Segmental forecast'!K12</f>
        <v>4.899999999999971E-2</v>
      </c>
      <c r="L8" s="46">
        <f>'[1]Segmental forecast'!L12</f>
        <v>4.8999999999999932E-2</v>
      </c>
      <c r="M8" s="46">
        <f>'[1]Segmental forecast'!M12</f>
        <v>4.899999999999971E-2</v>
      </c>
      <c r="N8" s="46">
        <f>'[1]Segmental forecast'!N12</f>
        <v>4.8999999999999932E-2</v>
      </c>
    </row>
    <row r="9" spans="1:15" x14ac:dyDescent="0.2">
      <c r="A9" s="45" t="s">
        <v>51</v>
      </c>
      <c r="B9" s="46">
        <f>'[1]Segmental forecast'!B13</f>
        <v>0.13832881278389594</v>
      </c>
      <c r="C9" s="46">
        <f>'[1]Segmental forecast'!C13</f>
        <v>0.14337781072399308</v>
      </c>
      <c r="D9" s="46">
        <f>'[1]Segmental forecast'!D13</f>
        <v>0.14395924308588065</v>
      </c>
      <c r="E9" s="46">
        <f>'[1]Segmental forecast'!E13</f>
        <v>0.12031211363573921</v>
      </c>
      <c r="F9" s="46">
        <f>'[1]Segmental forecast'!F13</f>
        <v>0.12398701331901731</v>
      </c>
      <c r="G9" s="46">
        <f>'[1]Segmental forecast'!G13</f>
        <v>7.9565810229126011E-2</v>
      </c>
      <c r="H9" s="46">
        <f>'[1]Segmental forecast'!H13</f>
        <v>0.1554402981723472</v>
      </c>
      <c r="I9" s="46">
        <f>'[1]Segmental forecast'!I13</f>
        <v>0.14677799186469706</v>
      </c>
      <c r="J9" s="46">
        <f>'[1]Segmental forecast'!J13</f>
        <v>0.14677799186469709</v>
      </c>
      <c r="K9" s="46">
        <f>'[1]Segmental forecast'!K13</f>
        <v>0.14677799186469706</v>
      </c>
      <c r="L9" s="46">
        <f>'[1]Segmental forecast'!L13</f>
        <v>0.14677799186469706</v>
      </c>
      <c r="M9" s="46">
        <f>'[1]Segmental forecast'!M13</f>
        <v>0.14677799186469703</v>
      </c>
      <c r="N9" s="46">
        <f>'[1]Segmental forecast'!N13</f>
        <v>0.14677799186469706</v>
      </c>
    </row>
    <row r="10" spans="1:15" x14ac:dyDescent="0.2">
      <c r="A10" s="49" t="s">
        <v>52</v>
      </c>
      <c r="B10" s="27">
        <f>[1]Historicals!B8</f>
        <v>28</v>
      </c>
      <c r="C10" s="27">
        <f>[1]Historicals!C8</f>
        <v>19</v>
      </c>
      <c r="D10" s="27">
        <f>[1]Historicals!D8</f>
        <v>59</v>
      </c>
      <c r="E10" s="27">
        <f>[1]Historicals!E8</f>
        <v>54</v>
      </c>
      <c r="F10" s="27">
        <f>[1]Historicals!F8</f>
        <v>49</v>
      </c>
      <c r="G10" s="27">
        <f>[1]Historicals!G8</f>
        <v>89</v>
      </c>
      <c r="H10" s="27">
        <f>[1]Historicals!H8</f>
        <v>262</v>
      </c>
      <c r="I10" s="27">
        <f>[1]Historicals!I8</f>
        <v>205</v>
      </c>
      <c r="J10" s="27">
        <v>-6</v>
      </c>
      <c r="K10" s="27">
        <v>-161</v>
      </c>
      <c r="L10" s="27">
        <v>-161</v>
      </c>
      <c r="M10" s="27">
        <v>-161</v>
      </c>
      <c r="N10" s="27">
        <v>-161</v>
      </c>
    </row>
    <row r="11" spans="1:15" x14ac:dyDescent="0.2">
      <c r="A11" s="43" t="s">
        <v>53</v>
      </c>
      <c r="B11" s="44">
        <f>B7-B10</f>
        <v>4205</v>
      </c>
      <c r="C11" s="44">
        <f t="shared" ref="C11:K11" si="1">C7-C10</f>
        <v>4623</v>
      </c>
      <c r="D11" s="44">
        <f t="shared" si="1"/>
        <v>4886</v>
      </c>
      <c r="E11" s="44">
        <f t="shared" si="1"/>
        <v>4325</v>
      </c>
      <c r="F11" s="44">
        <f t="shared" si="1"/>
        <v>4801</v>
      </c>
      <c r="G11" s="44">
        <f t="shared" si="1"/>
        <v>2887</v>
      </c>
      <c r="H11" s="44">
        <f t="shared" si="1"/>
        <v>6661</v>
      </c>
      <c r="I11" s="44">
        <f t="shared" si="1"/>
        <v>6651</v>
      </c>
      <c r="J11" s="44">
        <f t="shared" si="1"/>
        <v>7197.9439999999995</v>
      </c>
      <c r="K11" s="44">
        <f t="shared" si="1"/>
        <v>7705.3492559999977</v>
      </c>
      <c r="L11" s="44">
        <f>L7-L10</f>
        <v>8075.0223695439972</v>
      </c>
      <c r="M11" s="44">
        <f t="shared" ref="M11:N11" si="2">M7-M10</f>
        <v>8462.8094656516514</v>
      </c>
      <c r="N11" s="44">
        <f t="shared" si="2"/>
        <v>8869.5981294685826</v>
      </c>
    </row>
    <row r="12" spans="1:15" x14ac:dyDescent="0.2">
      <c r="A12" s="50" t="s">
        <v>54</v>
      </c>
      <c r="B12" s="27">
        <f>[1]Historicals!B11</f>
        <v>932</v>
      </c>
      <c r="C12" s="27">
        <f>[1]Historicals!C11</f>
        <v>863</v>
      </c>
      <c r="D12" s="27">
        <f>[1]Historicals!D11</f>
        <v>646</v>
      </c>
      <c r="E12" s="27">
        <f>[1]Historicals!E11</f>
        <v>2392</v>
      </c>
      <c r="F12" s="27">
        <f>[1]Historicals!F11</f>
        <v>772</v>
      </c>
      <c r="G12" s="27">
        <f>[1]Historicals!G11</f>
        <v>348</v>
      </c>
      <c r="H12" s="27">
        <f>[1]Historicals!H11</f>
        <v>934</v>
      </c>
      <c r="I12" s="27">
        <f>[1]Historicals!I11</f>
        <v>605</v>
      </c>
      <c r="J12" s="27">
        <v>1131</v>
      </c>
      <c r="K12" s="27">
        <v>1000</v>
      </c>
      <c r="L12" s="27">
        <v>1000</v>
      </c>
      <c r="M12" s="27">
        <v>1000</v>
      </c>
      <c r="N12" s="27">
        <v>1000</v>
      </c>
    </row>
    <row r="13" spans="1:15" x14ac:dyDescent="0.2">
      <c r="A13" s="51" t="s">
        <v>55</v>
      </c>
      <c r="B13" s="46">
        <f>B12/B11</f>
        <v>0.22164090368608799</v>
      </c>
      <c r="C13" s="46">
        <f t="shared" ref="C13:N13" si="3">C12/C11</f>
        <v>0.18667531905688947</v>
      </c>
      <c r="D13" s="46">
        <f t="shared" si="3"/>
        <v>0.13221449038067951</v>
      </c>
      <c r="E13" s="46">
        <f t="shared" si="3"/>
        <v>0.55306358381502885</v>
      </c>
      <c r="F13" s="46">
        <f t="shared" si="3"/>
        <v>0.16079983336804832</v>
      </c>
      <c r="G13" s="46">
        <f t="shared" si="3"/>
        <v>0.12054035330793211</v>
      </c>
      <c r="H13" s="46">
        <f t="shared" si="3"/>
        <v>0.14021918630836211</v>
      </c>
      <c r="I13" s="46">
        <f t="shared" si="3"/>
        <v>9.0963764847391368E-2</v>
      </c>
      <c r="J13" s="46">
        <f t="shared" si="3"/>
        <v>0.15712820216439585</v>
      </c>
      <c r="K13" s="46">
        <f t="shared" si="3"/>
        <v>0.12977997061214591</v>
      </c>
      <c r="L13" s="46">
        <f t="shared" si="3"/>
        <v>0.1238386662273074</v>
      </c>
      <c r="M13" s="46">
        <f t="shared" si="3"/>
        <v>0.1181640688070245</v>
      </c>
      <c r="N13" s="46">
        <f t="shared" si="3"/>
        <v>0.11274467968030864</v>
      </c>
    </row>
    <row r="14" spans="1:15" x14ac:dyDescent="0.2">
      <c r="A14" s="43" t="s">
        <v>56</v>
      </c>
      <c r="B14" s="44">
        <f>+B11-B12</f>
        <v>3273</v>
      </c>
      <c r="C14" s="44">
        <f t="shared" ref="C14:N14" si="4">+C11-C12</f>
        <v>3760</v>
      </c>
      <c r="D14" s="44">
        <f t="shared" si="4"/>
        <v>4240</v>
      </c>
      <c r="E14" s="44">
        <f t="shared" si="4"/>
        <v>1933</v>
      </c>
      <c r="F14" s="44">
        <f t="shared" si="4"/>
        <v>4029</v>
      </c>
      <c r="G14" s="44">
        <f t="shared" si="4"/>
        <v>2539</v>
      </c>
      <c r="H14" s="44">
        <f t="shared" si="4"/>
        <v>5727</v>
      </c>
      <c r="I14" s="44">
        <f t="shared" si="4"/>
        <v>6046</v>
      </c>
      <c r="J14" s="44">
        <f t="shared" si="4"/>
        <v>6066.9439999999995</v>
      </c>
      <c r="K14" s="44">
        <f t="shared" si="4"/>
        <v>6705.3492559999977</v>
      </c>
      <c r="L14" s="44">
        <f t="shared" si="4"/>
        <v>7075.0223695439972</v>
      </c>
      <c r="M14" s="44">
        <f t="shared" si="4"/>
        <v>7462.8094656516514</v>
      </c>
      <c r="N14" s="44">
        <f t="shared" si="4"/>
        <v>7869.5981294685826</v>
      </c>
    </row>
    <row r="15" spans="1:15" x14ac:dyDescent="0.2">
      <c r="A15" s="50" t="s">
        <v>57</v>
      </c>
      <c r="B15" s="28">
        <f>[1]Historicals!B18</f>
        <v>1768.8</v>
      </c>
      <c r="C15" s="28">
        <f>[1]Historicals!C18</f>
        <v>1742.5</v>
      </c>
      <c r="D15" s="28">
        <f>[1]Historicals!D18</f>
        <v>1692</v>
      </c>
      <c r="E15" s="28">
        <f>[1]Historicals!E18</f>
        <v>1659.1</v>
      </c>
      <c r="F15" s="28">
        <f>[1]Historicals!F18</f>
        <v>1618.4</v>
      </c>
      <c r="G15" s="28">
        <f>[1]Historicals!G18</f>
        <v>1591.6</v>
      </c>
      <c r="H15" s="28">
        <f>[1]Historicals!H18</f>
        <v>1609.4</v>
      </c>
      <c r="I15" s="28">
        <f>[1]Historicals!I18</f>
        <v>1610.8</v>
      </c>
      <c r="J15" s="28">
        <f>I15</f>
        <v>1610.8</v>
      </c>
      <c r="K15" s="28">
        <f t="shared" ref="K15:N15" si="5">J15</f>
        <v>1610.8</v>
      </c>
      <c r="L15" s="28">
        <f t="shared" si="5"/>
        <v>1610.8</v>
      </c>
      <c r="M15" s="28">
        <f t="shared" si="5"/>
        <v>1610.8</v>
      </c>
      <c r="N15" s="28">
        <f t="shared" si="5"/>
        <v>1610.8</v>
      </c>
    </row>
    <row r="16" spans="1:15" x14ac:dyDescent="0.2">
      <c r="A16" s="50" t="s">
        <v>58</v>
      </c>
      <c r="B16" s="28">
        <f>IFERROR(B14/B15,"nm")</f>
        <v>1.8504070556309362</v>
      </c>
      <c r="C16" s="28">
        <f>[1]Historicals!C14</f>
        <v>2.21</v>
      </c>
      <c r="D16" s="28">
        <f>[1]Historicals!D14</f>
        <v>2.56</v>
      </c>
      <c r="E16" s="28">
        <f>[1]Historicals!E14</f>
        <v>1.19</v>
      </c>
      <c r="F16" s="28">
        <f>[1]Historicals!F14</f>
        <v>2.5499999999999998</v>
      </c>
      <c r="G16" s="28">
        <f>[1]Historicals!G14</f>
        <v>1.63</v>
      </c>
      <c r="H16" s="28">
        <f>[1]Historicals!H14</f>
        <v>3.64</v>
      </c>
      <c r="I16" s="28">
        <f>[1]Historicals!I14</f>
        <v>3.83</v>
      </c>
      <c r="J16" s="28">
        <v>3.27</v>
      </c>
      <c r="K16" s="28">
        <v>3.76</v>
      </c>
      <c r="L16" s="28">
        <v>3.76</v>
      </c>
      <c r="M16" s="28">
        <v>3.76</v>
      </c>
      <c r="N16" s="28">
        <v>3.76</v>
      </c>
    </row>
    <row r="17" spans="1:14" x14ac:dyDescent="0.2">
      <c r="A17" s="50" t="s">
        <v>59</v>
      </c>
      <c r="B17" s="28">
        <f>+(-[1]Historicals!B94/[1]Historicals!B18)</f>
        <v>0.508254183627318</v>
      </c>
      <c r="C17" s="28">
        <f>+(-[1]Historicals!C94/[1]Historicals!C18)</f>
        <v>0.58651362984218081</v>
      </c>
      <c r="D17" s="28">
        <f>+(-[1]Historicals!D94/[1]Historicals!D18)</f>
        <v>0.66962174940898345</v>
      </c>
      <c r="E17" s="28">
        <f>+(-[1]Historicals!E94/[1]Historicals!E18)</f>
        <v>0.74920137423904531</v>
      </c>
      <c r="F17" s="28">
        <f>+(-[1]Historicals!F94/[1]Historicals!F18)</f>
        <v>0.82303509639149774</v>
      </c>
      <c r="G17" s="28">
        <f>+(-[1]Historicals!G94/[1]Historicals!G18)</f>
        <v>0.91228951997989449</v>
      </c>
      <c r="H17" s="28">
        <f>+(-[1]Historicals!H94/[1]Historicals!H18)</f>
        <v>1.0177705977382876</v>
      </c>
      <c r="I17" s="28">
        <f>+(-[1]Historicals!I94/[1]Historicals!I18)</f>
        <v>1.1404271169605165</v>
      </c>
      <c r="J17" s="28">
        <f>2012/1569.8</f>
        <v>1.2816919352783795</v>
      </c>
      <c r="K17" s="28">
        <f>2169/1529.7</f>
        <v>1.4179250833496764</v>
      </c>
      <c r="L17" s="28">
        <f t="shared" ref="L17:N17" si="6">2169/1529.7</f>
        <v>1.4179250833496764</v>
      </c>
      <c r="M17" s="28">
        <f t="shared" si="6"/>
        <v>1.4179250833496764</v>
      </c>
      <c r="N17" s="28">
        <f t="shared" si="6"/>
        <v>1.4179250833496764</v>
      </c>
    </row>
    <row r="18" spans="1:14" x14ac:dyDescent="0.2">
      <c r="A18" s="51" t="s">
        <v>14</v>
      </c>
      <c r="B18" s="46" t="str">
        <f>IFERROR(B17/A17-1,"nm")</f>
        <v>nm</v>
      </c>
      <c r="C18" s="46">
        <f t="shared" ref="C18:N18" si="7">IFERROR(C17/B17-1,"nm")</f>
        <v>0.15397698383186809</v>
      </c>
      <c r="D18" s="46">
        <f t="shared" si="7"/>
        <v>0.14169853067040461</v>
      </c>
      <c r="E18" s="46">
        <f t="shared" si="7"/>
        <v>0.11884265243818604</v>
      </c>
      <c r="F18" s="46">
        <f t="shared" si="7"/>
        <v>9.8549902190775418E-2</v>
      </c>
      <c r="G18" s="46">
        <f t="shared" si="7"/>
        <v>0.10844546481641237</v>
      </c>
      <c r="H18" s="46">
        <f t="shared" si="7"/>
        <v>0.11562237146023313</v>
      </c>
      <c r="I18" s="46">
        <f t="shared" si="7"/>
        <v>0.12051489745803123</v>
      </c>
      <c r="J18" s="46">
        <f t="shared" si="7"/>
        <v>0.12387009763005663</v>
      </c>
      <c r="K18" s="46">
        <f t="shared" si="7"/>
        <v>0.10629164803296298</v>
      </c>
      <c r="L18" s="46">
        <f t="shared" si="7"/>
        <v>0</v>
      </c>
      <c r="M18" s="46">
        <f t="shared" si="7"/>
        <v>0</v>
      </c>
      <c r="N18" s="46">
        <f t="shared" si="7"/>
        <v>0</v>
      </c>
    </row>
    <row r="19" spans="1:14" x14ac:dyDescent="0.2">
      <c r="A19" s="51" t="s">
        <v>60</v>
      </c>
      <c r="B19" s="46">
        <f>IFERROR(B17*B15/B14,"nm")</f>
        <v>0.27467155514818214</v>
      </c>
      <c r="C19" s="46">
        <f t="shared" ref="C19:N19" si="8">IFERROR(C17*C15/C14,"nm")</f>
        <v>0.27180851063829786</v>
      </c>
      <c r="D19" s="46">
        <f t="shared" si="8"/>
        <v>0.26721698113207548</v>
      </c>
      <c r="E19" s="46">
        <f t="shared" si="8"/>
        <v>0.64304190377651316</v>
      </c>
      <c r="F19" s="46">
        <f t="shared" si="8"/>
        <v>0.33060312732688013</v>
      </c>
      <c r="G19" s="46">
        <f t="shared" si="8"/>
        <v>0.57187869239858213</v>
      </c>
      <c r="H19" s="46">
        <f t="shared" si="8"/>
        <v>0.28601361969617606</v>
      </c>
      <c r="I19" s="46">
        <f t="shared" si="8"/>
        <v>0.30383724776711873</v>
      </c>
      <c r="J19" s="46">
        <f t="shared" si="8"/>
        <v>0.34029477927378493</v>
      </c>
      <c r="K19" s="46">
        <f t="shared" si="8"/>
        <v>0.3406226338196961</v>
      </c>
      <c r="L19" s="46">
        <f t="shared" si="8"/>
        <v>0.32282494739403461</v>
      </c>
      <c r="M19" s="46">
        <f t="shared" si="8"/>
        <v>0.30605011889583605</v>
      </c>
      <c r="N19" s="46">
        <f t="shared" si="8"/>
        <v>0.29023003292976185</v>
      </c>
    </row>
    <row r="20" spans="1:14" x14ac:dyDescent="0.2">
      <c r="A20" s="52" t="s">
        <v>61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x14ac:dyDescent="0.2">
      <c r="A21" s="50" t="s">
        <v>62</v>
      </c>
      <c r="B21" s="27">
        <f>[1]Historicals!B25</f>
        <v>3852</v>
      </c>
      <c r="C21" s="27">
        <f>[1]Historicals!C25</f>
        <v>3138</v>
      </c>
      <c r="D21" s="27">
        <f>[1]Historicals!D25</f>
        <v>3808</v>
      </c>
      <c r="E21" s="27">
        <f>[1]Historicals!E25</f>
        <v>4249</v>
      </c>
      <c r="F21" s="27">
        <f>[1]Historicals!F25</f>
        <v>4466</v>
      </c>
      <c r="G21" s="27">
        <f>[1]Historicals!G25</f>
        <v>8348</v>
      </c>
      <c r="H21" s="27">
        <f>[1]Historicals!H25</f>
        <v>9889</v>
      </c>
      <c r="I21" s="27">
        <f>[1]Historicals!I25</f>
        <v>8574</v>
      </c>
      <c r="J21" s="27">
        <v>7441</v>
      </c>
      <c r="K21" s="27">
        <v>9860</v>
      </c>
      <c r="L21" s="27">
        <v>9860</v>
      </c>
      <c r="M21" s="27">
        <v>9860</v>
      </c>
      <c r="N21" s="27">
        <v>9860</v>
      </c>
    </row>
    <row r="22" spans="1:14" x14ac:dyDescent="0.2">
      <c r="A22" s="50" t="s">
        <v>63</v>
      </c>
      <c r="B22" s="27">
        <f>[1]Historicals!B39+[1]Historicals!B46</f>
        <v>1186</v>
      </c>
      <c r="C22" s="27">
        <f>[1]Historicals!C39+[1]Historicals!C46</f>
        <v>2054</v>
      </c>
      <c r="D22" s="27">
        <f>[1]Historicals!D39+[1]Historicals!D46</f>
        <v>3477</v>
      </c>
      <c r="E22" s="27">
        <f>[1]Historicals!E39+[1]Historicals!E46</f>
        <v>3474</v>
      </c>
      <c r="F22" s="27">
        <f>[1]Historicals!F39+[1]Historicals!F46</f>
        <v>3470</v>
      </c>
      <c r="G22" s="27">
        <f>[1]Historicals!G39+[1]Historicals!G46</f>
        <v>9409</v>
      </c>
      <c r="H22" s="27">
        <f>[1]Historicals!H39+[1]Historicals!H46</f>
        <v>9413</v>
      </c>
      <c r="I22" s="27">
        <f>[1]Historicals!I39+[1]Historicals!I46</f>
        <v>9420</v>
      </c>
      <c r="J22" s="27">
        <v>8927</v>
      </c>
      <c r="K22" s="27">
        <f>1000+7903</f>
        <v>8903</v>
      </c>
      <c r="L22" s="27">
        <f t="shared" ref="L22:N22" si="9">1000+7903</f>
        <v>8903</v>
      </c>
      <c r="M22" s="27">
        <f t="shared" si="9"/>
        <v>8903</v>
      </c>
      <c r="N22" s="27">
        <f t="shared" si="9"/>
        <v>8903</v>
      </c>
    </row>
    <row r="23" spans="1:14" x14ac:dyDescent="0.2">
      <c r="A23" s="50" t="s">
        <v>64</v>
      </c>
      <c r="B23" s="27">
        <f>[1]Historicals!B28+[1]Historicals!B27-[1]Historicals!B41</f>
        <v>5564</v>
      </c>
      <c r="C23" s="27">
        <f>[1]Historicals!C28+[1]Historicals!C27-[1]Historicals!C41</f>
        <v>5888</v>
      </c>
      <c r="D23" s="27">
        <f>[1]Historicals!D28+[1]Historicals!D27-[1]Historicals!D41</f>
        <v>6684</v>
      </c>
      <c r="E23" s="27">
        <f>[1]Historicals!E28+[1]Historicals!E27-[1]Historicals!E41</f>
        <v>6480</v>
      </c>
      <c r="F23" s="27">
        <f>[1]Historicals!F28+[1]Historicals!F27-[1]Historicals!F41</f>
        <v>7282</v>
      </c>
      <c r="G23" s="27">
        <f>[1]Historicals!G28+[1]Historicals!G27-[1]Historicals!G41</f>
        <v>7868</v>
      </c>
      <c r="H23" s="27">
        <f>[1]Historicals!H28+[1]Historicals!H27-[1]Historicals!H41</f>
        <v>8481</v>
      </c>
      <c r="I23" s="27">
        <f>[1]Historicals!I28+[1]Historicals!I27-[1]Historicals!I41</f>
        <v>9729</v>
      </c>
      <c r="J23" s="27">
        <f>(8454+4131)-2862</f>
        <v>9723</v>
      </c>
      <c r="K23" s="27">
        <f>(7519+4427)-2851</f>
        <v>9095</v>
      </c>
      <c r="L23" s="27">
        <f t="shared" ref="L23:N23" si="10">(7519+4427)-2851</f>
        <v>9095</v>
      </c>
      <c r="M23" s="27">
        <f t="shared" si="10"/>
        <v>9095</v>
      </c>
      <c r="N23" s="27">
        <f t="shared" si="10"/>
        <v>9095</v>
      </c>
    </row>
    <row r="24" spans="1:14" x14ac:dyDescent="0.2">
      <c r="A24" s="51" t="s">
        <v>65</v>
      </c>
      <c r="B24" s="46">
        <f>IFERROR(B23/B3,"nm")</f>
        <v>0.18182412339466031</v>
      </c>
      <c r="C24" s="46">
        <f t="shared" ref="C24:N24" si="11">IFERROR(C23/C3,"nm")</f>
        <v>0.1818631084754139</v>
      </c>
      <c r="D24" s="46">
        <f t="shared" si="11"/>
        <v>0.19458515283842795</v>
      </c>
      <c r="E24" s="46">
        <f t="shared" si="11"/>
        <v>0.17803665137236585</v>
      </c>
      <c r="F24" s="46">
        <f t="shared" si="11"/>
        <v>0.18615947030702765</v>
      </c>
      <c r="G24" s="46">
        <f t="shared" si="11"/>
        <v>0.21035745795791783</v>
      </c>
      <c r="H24" s="46">
        <f t="shared" si="11"/>
        <v>0.19042166240064665</v>
      </c>
      <c r="I24" s="46">
        <f t="shared" si="11"/>
        <v>0.20828516377649325</v>
      </c>
      <c r="J24" s="46">
        <f t="shared" si="11"/>
        <v>0.19843347152041921</v>
      </c>
      <c r="K24" s="46">
        <f t="shared" si="11"/>
        <v>0.17694645233288231</v>
      </c>
      <c r="L24" s="46">
        <f t="shared" si="11"/>
        <v>0.16868107944030727</v>
      </c>
      <c r="M24" s="46">
        <f t="shared" si="11"/>
        <v>0.16080179164948263</v>
      </c>
      <c r="N24" s="46">
        <f t="shared" si="11"/>
        <v>0.1532905544799644</v>
      </c>
    </row>
    <row r="25" spans="1:14" x14ac:dyDescent="0.2">
      <c r="A25" s="50" t="s">
        <v>66</v>
      </c>
      <c r="B25" s="27">
        <f>[1]Historicals!B26+[1]Historicals!B27+[1]Historicals!B28+[1]Historicals!B29</f>
        <v>11735</v>
      </c>
      <c r="C25" s="27">
        <f>[1]Historicals!C26+[1]Historicals!C27+[1]Historicals!C28+[1]Historicals!C29</f>
        <v>11887</v>
      </c>
      <c r="D25" s="27">
        <f>[1]Historicals!D26+[1]Historicals!D27+[1]Historicals!D28+[1]Historicals!D29</f>
        <v>12253</v>
      </c>
      <c r="E25" s="27">
        <f>[1]Historicals!E26+[1]Historicals!E27+[1]Historicals!E28+[1]Historicals!E29</f>
        <v>10885</v>
      </c>
      <c r="F25" s="27">
        <f>[1]Historicals!F26+[1]Historicals!F27+[1]Historicals!F28+[1]Historicals!F29</f>
        <v>12059</v>
      </c>
      <c r="G25" s="27">
        <f>[1]Historicals!G26+[1]Historicals!G27+[1]Historicals!G28+[1]Historicals!G29</f>
        <v>12208</v>
      </c>
      <c r="H25" s="27">
        <f>[1]Historicals!H26+[1]Historicals!H27+[1]Historicals!H28+[1]Historicals!H29</f>
        <v>16402</v>
      </c>
      <c r="I25" s="27">
        <f>[1]Historicals!I26+[1]Historicals!I27+[1]Historicals!I28+[1]Historicals!I29</f>
        <v>19639</v>
      </c>
      <c r="J25" s="27">
        <f>3234+4131+8454+1942</f>
        <v>17761</v>
      </c>
      <c r="K25" s="27">
        <f>1722+4427+7519+1854</f>
        <v>15522</v>
      </c>
      <c r="L25" s="27">
        <f t="shared" ref="L25:N25" si="12">1722+4427+7519+1854</f>
        <v>15522</v>
      </c>
      <c r="M25" s="27">
        <f t="shared" si="12"/>
        <v>15522</v>
      </c>
      <c r="N25" s="27">
        <f t="shared" si="12"/>
        <v>15522</v>
      </c>
    </row>
    <row r="26" spans="1:14" x14ac:dyDescent="0.2">
      <c r="A26" s="50" t="s">
        <v>67</v>
      </c>
      <c r="B26" s="27">
        <f>[1]Historicals!B31</f>
        <v>3011</v>
      </c>
      <c r="C26" s="27">
        <f>[1]Historicals!C31</f>
        <v>3520</v>
      </c>
      <c r="D26" s="27">
        <f>[1]Historicals!D31</f>
        <v>3989</v>
      </c>
      <c r="E26" s="27">
        <f>[1]Historicals!E31</f>
        <v>4454</v>
      </c>
      <c r="F26" s="27">
        <f>[1]Historicals!F31</f>
        <v>4744</v>
      </c>
      <c r="G26" s="27">
        <f>[1]Historicals!G31</f>
        <v>4866</v>
      </c>
      <c r="H26" s="27">
        <f>[1]Historicals!H31</f>
        <v>4904</v>
      </c>
      <c r="I26" s="27">
        <f>[1]Historicals!I31</f>
        <v>4791</v>
      </c>
      <c r="J26" s="27">
        <v>5081</v>
      </c>
      <c r="K26" s="27">
        <v>5000</v>
      </c>
      <c r="L26" s="27">
        <v>5000</v>
      </c>
      <c r="M26" s="27">
        <v>5000</v>
      </c>
      <c r="N26" s="27">
        <v>5000</v>
      </c>
    </row>
    <row r="27" spans="1:14" x14ac:dyDescent="0.2">
      <c r="A27" s="50" t="s">
        <v>68</v>
      </c>
      <c r="B27" s="27">
        <f>[1]Historicals!B33</f>
        <v>281</v>
      </c>
      <c r="C27" s="27">
        <f>[1]Historicals!C33</f>
        <v>281</v>
      </c>
      <c r="D27" s="27">
        <f>[1]Historicals!D33</f>
        <v>283</v>
      </c>
      <c r="E27" s="27">
        <f>[1]Historicals!E33</f>
        <v>285</v>
      </c>
      <c r="F27" s="27">
        <f>[1]Historicals!F33</f>
        <v>283</v>
      </c>
      <c r="G27" s="27">
        <f>[1]Historicals!G33</f>
        <v>274</v>
      </c>
      <c r="H27" s="27">
        <f>[1]Historicals!H33</f>
        <v>269</v>
      </c>
      <c r="I27" s="27">
        <f>[1]Historicals!I33</f>
        <v>286</v>
      </c>
      <c r="J27" s="27">
        <v>274</v>
      </c>
      <c r="K27" s="27">
        <v>259</v>
      </c>
      <c r="L27" s="27">
        <v>259</v>
      </c>
      <c r="M27" s="27">
        <v>259</v>
      </c>
      <c r="N27" s="27">
        <v>259</v>
      </c>
    </row>
    <row r="28" spans="1:14" x14ac:dyDescent="0.2">
      <c r="A28" s="50" t="s">
        <v>69</v>
      </c>
      <c r="B28" s="27">
        <f>[1]Historicals!B34</f>
        <v>131</v>
      </c>
      <c r="C28" s="27">
        <f>[1]Historicals!C34</f>
        <v>131</v>
      </c>
      <c r="D28" s="27">
        <f>[1]Historicals!D34</f>
        <v>139</v>
      </c>
      <c r="E28" s="27">
        <f>[1]Historicals!E34</f>
        <v>154</v>
      </c>
      <c r="F28" s="27">
        <f>[1]Historicals!F34</f>
        <v>154</v>
      </c>
      <c r="G28" s="27">
        <f>[1]Historicals!G34</f>
        <v>223</v>
      </c>
      <c r="H28" s="27">
        <f>[1]Historicals!H34</f>
        <v>242</v>
      </c>
      <c r="I28" s="27">
        <f>[1]Historicals!I34</f>
        <v>284</v>
      </c>
      <c r="J28" s="27">
        <v>281</v>
      </c>
      <c r="K28" s="27">
        <v>240</v>
      </c>
      <c r="L28" s="27">
        <v>240</v>
      </c>
      <c r="M28" s="27">
        <v>240</v>
      </c>
      <c r="N28" s="27">
        <v>240</v>
      </c>
    </row>
    <row r="29" spans="1:14" x14ac:dyDescent="0.2">
      <c r="A29" s="54" t="s">
        <v>70</v>
      </c>
      <c r="B29" s="27">
        <f>[1]Historicals!B32</f>
        <v>0</v>
      </c>
      <c r="C29" s="27">
        <f>[1]Historicals!C32</f>
        <v>0</v>
      </c>
      <c r="D29" s="27">
        <f>[1]Historicals!D32</f>
        <v>0</v>
      </c>
      <c r="E29" s="27">
        <f>[1]Historicals!E32</f>
        <v>0</v>
      </c>
      <c r="F29" s="27">
        <f>[1]Historicals!F32</f>
        <v>0</v>
      </c>
      <c r="G29" s="27">
        <f>[1]Historicals!G32</f>
        <v>3097</v>
      </c>
      <c r="H29" s="27">
        <f>[1]Historicals!H32</f>
        <v>3113</v>
      </c>
      <c r="I29" s="27">
        <f>[1]Historicals!I32</f>
        <v>2926</v>
      </c>
      <c r="J29" s="27">
        <v>2923</v>
      </c>
      <c r="K29" s="27">
        <v>2718</v>
      </c>
      <c r="L29" s="27">
        <v>2718</v>
      </c>
      <c r="M29" s="27">
        <v>2718</v>
      </c>
      <c r="N29" s="27">
        <v>2718</v>
      </c>
    </row>
    <row r="30" spans="1:14" x14ac:dyDescent="0.2">
      <c r="A30" s="50" t="s">
        <v>71</v>
      </c>
      <c r="B30" s="27">
        <f>[1]Historicals!B35</f>
        <v>2587</v>
      </c>
      <c r="C30" s="27">
        <f>[1]Historicals!C35</f>
        <v>2439</v>
      </c>
      <c r="D30" s="27">
        <f>[1]Historicals!D35</f>
        <v>2787</v>
      </c>
      <c r="E30" s="27">
        <f>[1]Historicals!E35</f>
        <v>2509</v>
      </c>
      <c r="F30" s="27">
        <f>[1]Historicals!F35</f>
        <v>2011</v>
      </c>
      <c r="G30" s="27">
        <f>[1]Historicals!G35</f>
        <v>2326</v>
      </c>
      <c r="H30" s="27">
        <f>[1]Historicals!H35</f>
        <v>2921</v>
      </c>
      <c r="I30" s="27">
        <f>[1]Historicals!I35</f>
        <v>3821</v>
      </c>
      <c r="J30" s="27">
        <v>3770</v>
      </c>
      <c r="K30" s="27">
        <v>4511</v>
      </c>
      <c r="L30" s="27">
        <v>4511</v>
      </c>
      <c r="M30" s="27">
        <v>4511</v>
      </c>
      <c r="N30" s="27">
        <v>4511</v>
      </c>
    </row>
    <row r="31" spans="1:14" x14ac:dyDescent="0.2">
      <c r="A31" s="43" t="s">
        <v>72</v>
      </c>
      <c r="B31" s="44">
        <f>SUM(B21,B25,B26,B27,B28,B29,B30)</f>
        <v>21597</v>
      </c>
      <c r="C31" s="44">
        <f t="shared" ref="C31:K31" si="13">SUM(C21,C25,C26,C27,C28,C29,C30)</f>
        <v>21396</v>
      </c>
      <c r="D31" s="44">
        <f t="shared" si="13"/>
        <v>23259</v>
      </c>
      <c r="E31" s="44">
        <f t="shared" si="13"/>
        <v>22536</v>
      </c>
      <c r="F31" s="44">
        <f t="shared" si="13"/>
        <v>23717</v>
      </c>
      <c r="G31" s="44">
        <f t="shared" si="13"/>
        <v>31342</v>
      </c>
      <c r="H31" s="44">
        <f t="shared" si="13"/>
        <v>37740</v>
      </c>
      <c r="I31" s="44">
        <f t="shared" si="13"/>
        <v>40321</v>
      </c>
      <c r="J31" s="44">
        <f t="shared" si="13"/>
        <v>37531</v>
      </c>
      <c r="K31" s="44">
        <f t="shared" si="13"/>
        <v>38110</v>
      </c>
      <c r="L31" s="44">
        <f>SUM(L21,L25,L26,L27,L28,L29,L30)</f>
        <v>38110</v>
      </c>
      <c r="M31" s="44">
        <f t="shared" ref="M31:N31" si="14">SUM(M21,M25,M26,M27,M28,M29,M30)</f>
        <v>38110</v>
      </c>
      <c r="N31" s="44">
        <f t="shared" si="14"/>
        <v>38110</v>
      </c>
    </row>
    <row r="32" spans="1:14" x14ac:dyDescent="0.2">
      <c r="A32" s="50" t="s">
        <v>73</v>
      </c>
      <c r="B32" s="27">
        <f>[1]Historicals!B42</f>
        <v>0</v>
      </c>
      <c r="C32" s="27">
        <f>[1]Historicals!C42</f>
        <v>0</v>
      </c>
      <c r="D32" s="27">
        <f>[1]Historicals!D42</f>
        <v>0</v>
      </c>
      <c r="E32" s="27">
        <f>[1]Historicals!E42</f>
        <v>0</v>
      </c>
      <c r="F32" s="27">
        <f>[1]Historicals!F42</f>
        <v>0</v>
      </c>
      <c r="G32" s="27">
        <f>[1]Historicals!G42</f>
        <v>445</v>
      </c>
      <c r="H32" s="27">
        <f>[1]Historicals!H42</f>
        <v>467</v>
      </c>
      <c r="I32" s="27">
        <f>[1]Historicals!I42</f>
        <v>420</v>
      </c>
      <c r="J32" s="27">
        <v>425</v>
      </c>
      <c r="K32" s="27">
        <v>477</v>
      </c>
      <c r="L32" s="27">
        <v>477</v>
      </c>
      <c r="M32" s="27">
        <v>477</v>
      </c>
      <c r="N32" s="27">
        <v>477</v>
      </c>
    </row>
    <row r="33" spans="1:14" x14ac:dyDescent="0.2">
      <c r="A33" s="49" t="s">
        <v>74</v>
      </c>
      <c r="B33" s="27">
        <f>[1]Historicals!B39</f>
        <v>107</v>
      </c>
      <c r="C33" s="27">
        <f>[1]Historicals!C39</f>
        <v>44</v>
      </c>
      <c r="D33" s="27">
        <f>[1]Historicals!D39</f>
        <v>6</v>
      </c>
      <c r="E33" s="27">
        <f>[1]Historicals!E39</f>
        <v>6</v>
      </c>
      <c r="F33" s="27">
        <f>[1]Historicals!F39</f>
        <v>6</v>
      </c>
      <c r="G33" s="27">
        <f>[1]Historicals!G39</f>
        <v>3</v>
      </c>
      <c r="H33" s="27">
        <f>[1]Historicals!H39</f>
        <v>0</v>
      </c>
      <c r="I33" s="27">
        <f>[1]Historicals!I39</f>
        <v>500</v>
      </c>
      <c r="J33" s="27">
        <v>0</v>
      </c>
      <c r="K33" s="27">
        <v>1000</v>
      </c>
      <c r="L33" s="27">
        <v>1000</v>
      </c>
      <c r="M33" s="27">
        <v>1000</v>
      </c>
      <c r="N33" s="27">
        <v>1000</v>
      </c>
    </row>
    <row r="34" spans="1:14" x14ac:dyDescent="0.2">
      <c r="A34" s="49" t="s">
        <v>75</v>
      </c>
      <c r="B34" s="27">
        <f>[1]Historicals!B40</f>
        <v>74</v>
      </c>
      <c r="C34" s="27">
        <f>[1]Historicals!C40</f>
        <v>1</v>
      </c>
      <c r="D34" s="27">
        <f>[1]Historicals!D40</f>
        <v>325</v>
      </c>
      <c r="E34" s="27">
        <f>[1]Historicals!E40</f>
        <v>336</v>
      </c>
      <c r="F34" s="27">
        <f>[1]Historicals!F40</f>
        <v>9</v>
      </c>
      <c r="G34" s="27">
        <f>[1]Historicals!G40</f>
        <v>248</v>
      </c>
      <c r="H34" s="27">
        <f>[1]Historicals!H40</f>
        <v>2</v>
      </c>
      <c r="I34" s="27">
        <f>[1]Historicals!I40</f>
        <v>10</v>
      </c>
      <c r="J34" s="27">
        <v>6</v>
      </c>
      <c r="K34" s="27">
        <v>6</v>
      </c>
      <c r="L34" s="27">
        <v>6</v>
      </c>
      <c r="M34" s="27">
        <v>6</v>
      </c>
      <c r="N34" s="27">
        <v>6</v>
      </c>
    </row>
    <row r="35" spans="1:14" x14ac:dyDescent="0.2">
      <c r="A35" s="50" t="s">
        <v>76</v>
      </c>
      <c r="B35" s="27">
        <f>[1]Historicals!B41+[1]Historicals!B43+[1]Historicals!B44</f>
        <v>6151</v>
      </c>
      <c r="C35" s="27">
        <f>[1]Historicals!C41+[1]Historicals!C43+[1]Historicals!C44</f>
        <v>5313</v>
      </c>
      <c r="D35" s="27">
        <f>[1]Historicals!D41+[1]Historicals!D43+[1]Historicals!D44</f>
        <v>5143</v>
      </c>
      <c r="E35" s="27">
        <f>[1]Historicals!E41+[1]Historicals!E43+[1]Historicals!E44</f>
        <v>5698</v>
      </c>
      <c r="F35" s="27">
        <f>[1]Historicals!F41+[1]Historicals!F43+[1]Historicals!F44</f>
        <v>7851</v>
      </c>
      <c r="G35" s="27">
        <f>[1]Historicals!G41+[1]Historicals!G43+[1]Historicals!G44</f>
        <v>7588</v>
      </c>
      <c r="H35" s="27">
        <f>[1]Historicals!H41+[1]Historicals!H43+[1]Historicals!H44</f>
        <v>9205</v>
      </c>
      <c r="I35" s="27">
        <f>[1]Historicals!I41+[1]Historicals!I43+[1]Historicals!I44</f>
        <v>9800</v>
      </c>
      <c r="J35" s="27">
        <f>2862+5723+240</f>
        <v>8825</v>
      </c>
      <c r="K35" s="27">
        <f>2851+5725+534</f>
        <v>9110</v>
      </c>
      <c r="L35" s="27">
        <f t="shared" ref="L35:N35" si="15">2851+5725+534</f>
        <v>9110</v>
      </c>
      <c r="M35" s="27">
        <f t="shared" si="15"/>
        <v>9110</v>
      </c>
      <c r="N35" s="27">
        <f t="shared" si="15"/>
        <v>9110</v>
      </c>
    </row>
    <row r="36" spans="1:14" x14ac:dyDescent="0.2">
      <c r="A36" s="50" t="s">
        <v>77</v>
      </c>
      <c r="B36" s="27">
        <f>[1]Historicals!B46</f>
        <v>1079</v>
      </c>
      <c r="C36" s="27">
        <f>[1]Historicals!C46</f>
        <v>2010</v>
      </c>
      <c r="D36" s="27">
        <f>[1]Historicals!D46</f>
        <v>3471</v>
      </c>
      <c r="E36" s="27">
        <f>[1]Historicals!E46</f>
        <v>3468</v>
      </c>
      <c r="F36" s="27">
        <f>[1]Historicals!F46</f>
        <v>3464</v>
      </c>
      <c r="G36" s="27">
        <f>[1]Historicals!G46</f>
        <v>9406</v>
      </c>
      <c r="H36" s="27">
        <f>[1]Historicals!H46</f>
        <v>9413</v>
      </c>
      <c r="I36" s="27">
        <f>[1]Historicals!I46</f>
        <v>8920</v>
      </c>
      <c r="J36" s="27">
        <v>8927</v>
      </c>
      <c r="K36" s="27">
        <v>7903</v>
      </c>
      <c r="L36" s="27">
        <v>7903</v>
      </c>
      <c r="M36" s="27">
        <v>7903</v>
      </c>
      <c r="N36" s="27">
        <v>7903</v>
      </c>
    </row>
    <row r="37" spans="1:14" x14ac:dyDescent="0.2">
      <c r="A37" s="54" t="s">
        <v>78</v>
      </c>
      <c r="B37" s="27">
        <f>[1]Historicals!B47</f>
        <v>0</v>
      </c>
      <c r="C37" s="27">
        <f>[1]Historicals!C47</f>
        <v>0</v>
      </c>
      <c r="D37" s="27">
        <f>[1]Historicals!D47</f>
        <v>0</v>
      </c>
      <c r="E37" s="27">
        <f>[1]Historicals!E47</f>
        <v>0</v>
      </c>
      <c r="F37" s="27">
        <f>[1]Historicals!F47</f>
        <v>0</v>
      </c>
      <c r="G37" s="27">
        <f>[1]Historicals!G47</f>
        <v>2913</v>
      </c>
      <c r="H37" s="27">
        <f>[1]Historicals!H47</f>
        <v>2931</v>
      </c>
      <c r="I37" s="27">
        <f>[1]Historicals!I47</f>
        <v>2777</v>
      </c>
      <c r="J37" s="27">
        <v>2786</v>
      </c>
      <c r="K37" s="27">
        <v>2566</v>
      </c>
      <c r="L37" s="27">
        <v>2566</v>
      </c>
      <c r="M37" s="27">
        <v>2566</v>
      </c>
      <c r="N37" s="27">
        <v>2566</v>
      </c>
    </row>
    <row r="38" spans="1:14" x14ac:dyDescent="0.2">
      <c r="A38" s="50" t="s">
        <v>79</v>
      </c>
      <c r="B38" s="27">
        <f>SUM([1]Historicals!B48)</f>
        <v>1479</v>
      </c>
      <c r="C38" s="27">
        <f>SUM([1]Historicals!C48:C50)</f>
        <v>1770</v>
      </c>
      <c r="D38" s="27">
        <f>SUM([1]Historicals!D48:D50)</f>
        <v>1907</v>
      </c>
      <c r="E38" s="27">
        <f>SUM([1]Historicals!E48:E50)</f>
        <v>3216</v>
      </c>
      <c r="F38" s="27">
        <f>SUM([1]Historicals!F48:F50)</f>
        <v>3347</v>
      </c>
      <c r="G38" s="27">
        <f>SUM([1]Historicals!G48:G50)</f>
        <v>2684</v>
      </c>
      <c r="H38" s="27">
        <f>SUM([1]Historicals!H48:H50)</f>
        <v>2955</v>
      </c>
      <c r="I38" s="27">
        <f>SUM([1]Historicals!I48:I50)</f>
        <v>2613</v>
      </c>
      <c r="J38" s="27">
        <v>2558</v>
      </c>
      <c r="K38" s="27">
        <v>2618</v>
      </c>
      <c r="L38" s="27">
        <v>2618</v>
      </c>
      <c r="M38" s="27">
        <v>2618</v>
      </c>
      <c r="N38" s="27">
        <v>2618</v>
      </c>
    </row>
    <row r="39" spans="1:14" x14ac:dyDescent="0.2">
      <c r="A39" s="50" t="s">
        <v>80</v>
      </c>
      <c r="B39" s="27">
        <f>[1]Historicals!B55</f>
        <v>6773</v>
      </c>
      <c r="C39" s="27">
        <f>[1]Historicals!C55</f>
        <v>7786</v>
      </c>
      <c r="D39" s="27">
        <f>[1]Historicals!D55</f>
        <v>5710</v>
      </c>
      <c r="E39" s="27">
        <f>[1]Historicals!E55</f>
        <v>6384</v>
      </c>
      <c r="F39" s="27">
        <f>[1]Historicals!F55</f>
        <v>7163</v>
      </c>
      <c r="G39" s="27">
        <f>[1]Historicals!G55</f>
        <v>8299</v>
      </c>
      <c r="H39" s="27">
        <f>[1]Historicals!H55</f>
        <v>9965</v>
      </c>
      <c r="I39" s="27">
        <f>[1]Historicals!I55</f>
        <v>11484</v>
      </c>
      <c r="J39" s="27">
        <v>12412</v>
      </c>
      <c r="K39" s="27">
        <v>13409</v>
      </c>
      <c r="L39" s="27">
        <v>13409</v>
      </c>
      <c r="M39" s="27">
        <v>13409</v>
      </c>
      <c r="N39" s="27">
        <v>13409</v>
      </c>
    </row>
    <row r="40" spans="1:14" x14ac:dyDescent="0.2">
      <c r="A40" s="49" t="s">
        <v>81</v>
      </c>
      <c r="B40" s="27">
        <f>[1]Historicals!B54</f>
        <v>3</v>
      </c>
      <c r="C40" s="27">
        <f>[1]Historicals!C54</f>
        <v>3</v>
      </c>
      <c r="D40" s="27">
        <f>[1]Historicals!D54</f>
        <v>3</v>
      </c>
      <c r="E40" s="27">
        <f>[1]Historicals!E54</f>
        <v>3</v>
      </c>
      <c r="F40" s="27">
        <f>[1]Historicals!F54</f>
        <v>3</v>
      </c>
      <c r="G40" s="27">
        <f>[1]Historicals!G54</f>
        <v>3</v>
      </c>
      <c r="H40" s="27">
        <f>[1]Historicals!H54</f>
        <v>3</v>
      </c>
      <c r="I40" s="27">
        <f>[1]Historicals!I54</f>
        <v>3</v>
      </c>
      <c r="J40" s="27">
        <v>3</v>
      </c>
      <c r="K40" s="27">
        <v>3</v>
      </c>
      <c r="L40" s="27">
        <v>3</v>
      </c>
      <c r="M40" s="27">
        <v>3</v>
      </c>
      <c r="N40" s="27">
        <v>3</v>
      </c>
    </row>
    <row r="41" spans="1:14" x14ac:dyDescent="0.2">
      <c r="A41" s="49" t="s">
        <v>82</v>
      </c>
      <c r="B41" s="27">
        <f>[1]Historicals!B57</f>
        <v>4685</v>
      </c>
      <c r="C41" s="27">
        <f>[1]Historicals!C57</f>
        <v>4151</v>
      </c>
      <c r="D41" s="27">
        <f>[1]Historicals!D57</f>
        <v>6907</v>
      </c>
      <c r="E41" s="27">
        <f>[1]Historicals!E57</f>
        <v>3517</v>
      </c>
      <c r="F41" s="27">
        <f>[1]Historicals!F57</f>
        <v>1643</v>
      </c>
      <c r="G41" s="27">
        <f>[1]Historicals!G57</f>
        <v>-191</v>
      </c>
      <c r="H41" s="27">
        <f>[1]Historicals!H57</f>
        <v>3179</v>
      </c>
      <c r="I41" s="27">
        <f>[1]Historicals!I57</f>
        <v>3476</v>
      </c>
      <c r="J41" s="27">
        <v>1358</v>
      </c>
      <c r="K41" s="27">
        <v>965</v>
      </c>
      <c r="L41" s="27">
        <v>965</v>
      </c>
      <c r="M41" s="27">
        <v>965</v>
      </c>
      <c r="N41" s="27">
        <v>965</v>
      </c>
    </row>
    <row r="42" spans="1:14" x14ac:dyDescent="0.2">
      <c r="A42" s="49" t="s">
        <v>83</v>
      </c>
      <c r="B42" s="27">
        <f>[1]Historicals!B56</f>
        <v>1246</v>
      </c>
      <c r="C42" s="27">
        <f>[1]Historicals!C56</f>
        <v>318</v>
      </c>
      <c r="D42" s="27">
        <f>[1]Historicals!D56</f>
        <v>-213</v>
      </c>
      <c r="E42" s="27">
        <f>[1]Historicals!E56</f>
        <v>-92</v>
      </c>
      <c r="F42" s="27">
        <f>[1]Historicals!F56</f>
        <v>231</v>
      </c>
      <c r="G42" s="27">
        <f>[1]Historicals!G56</f>
        <v>-56</v>
      </c>
      <c r="H42" s="27">
        <f>[1]Historicals!H56</f>
        <v>-380</v>
      </c>
      <c r="I42" s="27">
        <f>[1]Historicals!I56</f>
        <v>318</v>
      </c>
      <c r="J42" s="27">
        <v>231</v>
      </c>
      <c r="K42" s="27">
        <v>53</v>
      </c>
      <c r="L42" s="27">
        <v>53</v>
      </c>
      <c r="M42" s="27">
        <v>53</v>
      </c>
      <c r="N42" s="27">
        <v>53</v>
      </c>
    </row>
    <row r="43" spans="1:14" x14ac:dyDescent="0.2">
      <c r="A43" s="43" t="s">
        <v>84</v>
      </c>
      <c r="B43" s="44">
        <f t="shared" ref="B43:F43" si="16">SUM(B33:B42)</f>
        <v>21597</v>
      </c>
      <c r="C43" s="44">
        <f t="shared" si="16"/>
        <v>21396</v>
      </c>
      <c r="D43" s="44">
        <f t="shared" si="16"/>
        <v>23259</v>
      </c>
      <c r="E43" s="44">
        <f t="shared" si="16"/>
        <v>22536</v>
      </c>
      <c r="F43" s="44">
        <f t="shared" si="16"/>
        <v>23717</v>
      </c>
      <c r="G43" s="44">
        <f>SUM(G32:G42)</f>
        <v>31342</v>
      </c>
      <c r="H43" s="44">
        <f t="shared" ref="H43:N43" si="17">SUM(H32:H42)</f>
        <v>37740</v>
      </c>
      <c r="I43" s="44">
        <f t="shared" si="17"/>
        <v>40321</v>
      </c>
      <c r="J43" s="44">
        <f t="shared" si="17"/>
        <v>37531</v>
      </c>
      <c r="K43" s="44">
        <f t="shared" si="17"/>
        <v>38110</v>
      </c>
      <c r="L43" s="44">
        <f t="shared" si="17"/>
        <v>38110</v>
      </c>
      <c r="M43" s="44">
        <f t="shared" si="17"/>
        <v>38110</v>
      </c>
      <c r="N43" s="44">
        <f t="shared" si="17"/>
        <v>38110</v>
      </c>
    </row>
    <row r="44" spans="1:14" s="56" customFormat="1" x14ac:dyDescent="0.2">
      <c r="A44" s="55" t="s">
        <v>85</v>
      </c>
      <c r="B44" s="55">
        <f>B31-B43</f>
        <v>0</v>
      </c>
      <c r="C44" s="55">
        <f t="shared" ref="C44:N44" si="18">C31-C43</f>
        <v>0</v>
      </c>
      <c r="D44" s="55">
        <f t="shared" si="18"/>
        <v>0</v>
      </c>
      <c r="E44" s="55">
        <f t="shared" si="18"/>
        <v>0</v>
      </c>
      <c r="F44" s="55">
        <f t="shared" si="18"/>
        <v>0</v>
      </c>
      <c r="G44" s="55">
        <f t="shared" si="18"/>
        <v>0</v>
      </c>
      <c r="H44" s="55">
        <f t="shared" si="18"/>
        <v>0</v>
      </c>
      <c r="I44" s="55">
        <f t="shared" si="18"/>
        <v>0</v>
      </c>
      <c r="J44" s="55">
        <f t="shared" si="18"/>
        <v>0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</row>
    <row r="45" spans="1:14" x14ac:dyDescent="0.2">
      <c r="A45" s="52" t="s">
        <v>86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x14ac:dyDescent="0.2">
      <c r="A46" s="43" t="s">
        <v>50</v>
      </c>
      <c r="B46" s="44">
        <f>'[1]Segmental forecast'!B11</f>
        <v>4233</v>
      </c>
      <c r="C46" s="44">
        <f>'[1]Segmental forecast'!C11</f>
        <v>4642</v>
      </c>
      <c r="D46" s="44">
        <f>'[1]Segmental forecast'!D11</f>
        <v>4945</v>
      </c>
      <c r="E46" s="44">
        <f>'[1]Segmental forecast'!E11</f>
        <v>4379</v>
      </c>
      <c r="F46" s="44">
        <f>'[1]Segmental forecast'!F11</f>
        <v>4850</v>
      </c>
      <c r="G46" s="44">
        <f>'[1]Segmental forecast'!G11</f>
        <v>2976</v>
      </c>
      <c r="H46" s="44">
        <f>'[1]Segmental forecast'!H11</f>
        <v>6923</v>
      </c>
      <c r="I46" s="44">
        <f>'[1]Segmental forecast'!I11</f>
        <v>6856</v>
      </c>
      <c r="J46" s="44">
        <f>'[1]Segmental forecast'!J11</f>
        <v>7191.9439999999995</v>
      </c>
      <c r="K46" s="44">
        <f>'[1]Segmental forecast'!K11</f>
        <v>7544.3492559999977</v>
      </c>
      <c r="L46" s="44">
        <f>'[1]Segmental forecast'!L11</f>
        <v>7914.0223695439972</v>
      </c>
      <c r="M46" s="44">
        <f>'[1]Segmental forecast'!M11</f>
        <v>8301.8094656516514</v>
      </c>
      <c r="N46" s="44">
        <f>'[1]Segmental forecast'!N11</f>
        <v>8708.5981294685826</v>
      </c>
    </row>
    <row r="47" spans="1:14" x14ac:dyDescent="0.2">
      <c r="A47" s="50" t="s">
        <v>49</v>
      </c>
      <c r="B47" s="57">
        <f>'[1]Segmental forecast'!B8</f>
        <v>606</v>
      </c>
      <c r="C47" s="57">
        <f>'[1]Segmental forecast'!C8</f>
        <v>649</v>
      </c>
      <c r="D47" s="57">
        <f>'[1]Segmental forecast'!D8</f>
        <v>706</v>
      </c>
      <c r="E47" s="57">
        <f>'[1]Segmental forecast'!E8</f>
        <v>747</v>
      </c>
      <c r="F47" s="57">
        <f>'[1]Segmental forecast'!F8</f>
        <v>705</v>
      </c>
      <c r="G47" s="57">
        <f>'[1]Segmental forecast'!G8</f>
        <v>721</v>
      </c>
      <c r="H47" s="57">
        <f>'[1]Segmental forecast'!H8</f>
        <v>744</v>
      </c>
      <c r="I47" s="57">
        <f>'[1]Segmental forecast'!I8</f>
        <v>717</v>
      </c>
      <c r="J47" s="57">
        <f>'[1]Segmental forecast'!J8</f>
        <v>752.13299999999992</v>
      </c>
      <c r="K47" s="57">
        <f>'[1]Segmental forecast'!K8</f>
        <v>788.9875169999998</v>
      </c>
      <c r="L47" s="57">
        <f>'[1]Segmental forecast'!L8</f>
        <v>827.6479053329997</v>
      </c>
      <c r="M47" s="57">
        <f>'[1]Segmental forecast'!M8</f>
        <v>868.20265269431661</v>
      </c>
      <c r="N47" s="57">
        <f>'[1]Segmental forecast'!N8</f>
        <v>910.74458267633804</v>
      </c>
    </row>
    <row r="48" spans="1:14" x14ac:dyDescent="0.2">
      <c r="A48" s="50" t="s">
        <v>87</v>
      </c>
      <c r="B48" s="27">
        <f>[1]Historicals!B106</f>
        <v>1262</v>
      </c>
      <c r="C48" s="27">
        <f>[1]Historicals!C106</f>
        <v>748</v>
      </c>
      <c r="D48" s="27">
        <f>[1]Historicals!D106</f>
        <v>703</v>
      </c>
      <c r="E48" s="27">
        <f>[1]Historicals!E106</f>
        <v>529</v>
      </c>
      <c r="F48" s="27">
        <f>[1]Historicals!F106</f>
        <v>757</v>
      </c>
      <c r="G48" s="27">
        <f>[1]Historicals!G106</f>
        <v>1028</v>
      </c>
      <c r="H48" s="27">
        <f>[1]Historicals!H106</f>
        <v>1177</v>
      </c>
      <c r="I48" s="27">
        <f>[1]Historicals!I106</f>
        <v>1231</v>
      </c>
      <c r="J48" s="27">
        <f>J46*J13</f>
        <v>1130.0572307870136</v>
      </c>
      <c r="K48" s="27">
        <f t="shared" ref="K48:N48" si="19">K46*K13</f>
        <v>979.1054247314446</v>
      </c>
      <c r="L48" s="27">
        <f t="shared" si="19"/>
        <v>980.06197473740349</v>
      </c>
      <c r="M48" s="27">
        <f t="shared" si="19"/>
        <v>980.97558492206906</v>
      </c>
      <c r="N48" s="27">
        <f t="shared" si="19"/>
        <v>981.84810657147034</v>
      </c>
    </row>
    <row r="49" spans="1:14" x14ac:dyDescent="0.2">
      <c r="A49" s="43" t="s">
        <v>88</v>
      </c>
      <c r="B49" s="44">
        <f>B46-B48</f>
        <v>2971</v>
      </c>
      <c r="C49" s="44">
        <f t="shared" ref="C49:N49" si="20">C46-C48</f>
        <v>3894</v>
      </c>
      <c r="D49" s="44">
        <f t="shared" si="20"/>
        <v>4242</v>
      </c>
      <c r="E49" s="44">
        <f t="shared" si="20"/>
        <v>3850</v>
      </c>
      <c r="F49" s="44">
        <f t="shared" si="20"/>
        <v>4093</v>
      </c>
      <c r="G49" s="44">
        <f t="shared" si="20"/>
        <v>1948</v>
      </c>
      <c r="H49" s="44">
        <f t="shared" si="20"/>
        <v>5746</v>
      </c>
      <c r="I49" s="44">
        <f t="shared" si="20"/>
        <v>5625</v>
      </c>
      <c r="J49" s="44">
        <f t="shared" si="20"/>
        <v>6061.8867692129861</v>
      </c>
      <c r="K49" s="44">
        <f t="shared" si="20"/>
        <v>6565.2438312685535</v>
      </c>
      <c r="L49" s="44">
        <f t="shared" si="20"/>
        <v>6933.9603948065942</v>
      </c>
      <c r="M49" s="44">
        <f t="shared" si="20"/>
        <v>7320.8338807295822</v>
      </c>
      <c r="N49" s="44">
        <f t="shared" si="20"/>
        <v>7726.7500228971121</v>
      </c>
    </row>
    <row r="50" spans="1:14" x14ac:dyDescent="0.2">
      <c r="A50" s="50" t="s">
        <v>89</v>
      </c>
      <c r="B50" s="27">
        <f>[1]Historicals!B105</f>
        <v>53</v>
      </c>
      <c r="C50" s="27">
        <f>[1]Historicals!C105</f>
        <v>70</v>
      </c>
      <c r="D50" s="27">
        <f>[1]Historicals!D105</f>
        <v>98</v>
      </c>
      <c r="E50" s="27">
        <f>[1]Historicals!E105</f>
        <v>125</v>
      </c>
      <c r="F50" s="27">
        <f>[1]Historicals!F105</f>
        <v>153</v>
      </c>
      <c r="G50" s="27">
        <f>[1]Historicals!G105</f>
        <v>140</v>
      </c>
      <c r="H50" s="27">
        <f>[1]Historicals!H105</f>
        <v>293</v>
      </c>
      <c r="I50" s="27">
        <f>[1]Historicals!I105</f>
        <v>290</v>
      </c>
      <c r="J50" s="27">
        <f>J10</f>
        <v>-6</v>
      </c>
      <c r="K50" s="27">
        <f t="shared" ref="K50:N50" si="21">K10</f>
        <v>-161</v>
      </c>
      <c r="L50" s="27">
        <f t="shared" si="21"/>
        <v>-161</v>
      </c>
      <c r="M50" s="27">
        <f t="shared" si="21"/>
        <v>-161</v>
      </c>
      <c r="N50" s="27">
        <f t="shared" si="21"/>
        <v>-161</v>
      </c>
    </row>
    <row r="51" spans="1:14" x14ac:dyDescent="0.2">
      <c r="A51" s="50" t="s">
        <v>90</v>
      </c>
      <c r="B51" s="27">
        <f>SUM([1]Historicals!B72:B75)</f>
        <v>256</v>
      </c>
      <c r="C51" s="27">
        <f>SUM([1]Historicals!C72:C75)</f>
        <v>-1580</v>
      </c>
      <c r="D51" s="27">
        <f>SUM([1]Historicals!D72:D75)</f>
        <v>-935</v>
      </c>
      <c r="E51" s="27">
        <f>SUM([1]Historicals!E72:E75)</f>
        <v>1482</v>
      </c>
      <c r="F51" s="27">
        <f>SUM([1]Historicals!F72:F75)</f>
        <v>562</v>
      </c>
      <c r="G51" s="27">
        <f>SUM([1]Historicals!G72:G75)</f>
        <v>-1245</v>
      </c>
      <c r="H51" s="27">
        <f>SUM([1]Historicals!H72:H75)</f>
        <v>45</v>
      </c>
      <c r="I51" s="27">
        <f>SUM([1]Historicals!I72:I75)</f>
        <v>-1660</v>
      </c>
      <c r="J51" s="27">
        <f>489+(-133)+(-644)+(-225)</f>
        <v>-513</v>
      </c>
      <c r="K51" s="27">
        <f>(-329)+908+(-260)+397</f>
        <v>716</v>
      </c>
      <c r="L51" s="27">
        <f t="shared" ref="L51:N51" si="22">(-329)+908+(-260)+397</f>
        <v>716</v>
      </c>
      <c r="M51" s="27">
        <f t="shared" si="22"/>
        <v>716</v>
      </c>
      <c r="N51" s="27">
        <f t="shared" si="22"/>
        <v>716</v>
      </c>
    </row>
    <row r="52" spans="1:14" x14ac:dyDescent="0.2">
      <c r="A52" s="50" t="s">
        <v>91</v>
      </c>
      <c r="B52" s="27">
        <f>-[1]Historicals!B81-[1]Historicals!B107</f>
        <v>757</v>
      </c>
      <c r="C52" s="27">
        <f>-[1]Historicals!C81-[1]Historicals!C107</f>
        <v>891</v>
      </c>
      <c r="D52" s="27">
        <f>-[1]Historicals!D81-[1]Historicals!D107</f>
        <v>839</v>
      </c>
      <c r="E52" s="27">
        <f>-[1]Historicals!E81-[1]Historicals!E107</f>
        <v>734</v>
      </c>
      <c r="F52" s="27">
        <f>-[1]Historicals!F81-[1]Historicals!F107</f>
        <v>959</v>
      </c>
      <c r="G52" s="27">
        <f>-[1]Historicals!G81-[1]Historicals!G107</f>
        <v>965</v>
      </c>
      <c r="H52" s="27">
        <f>-[1]Historicals!H81-[1]Historicals!H107</f>
        <v>516</v>
      </c>
      <c r="I52" s="27">
        <f>-[1]Historicals!I81-[1]Historicals!I107</f>
        <v>598</v>
      </c>
      <c r="J52" s="27">
        <f>(-969)-211</f>
        <v>-1180</v>
      </c>
      <c r="K52" s="27">
        <f>(-812)-160</f>
        <v>-972</v>
      </c>
      <c r="L52" s="27">
        <f t="shared" ref="L52:N52" si="23">(-812)-160</f>
        <v>-972</v>
      </c>
      <c r="M52" s="27">
        <f t="shared" si="23"/>
        <v>-972</v>
      </c>
      <c r="N52" s="27">
        <f t="shared" si="23"/>
        <v>-972</v>
      </c>
    </row>
    <row r="53" spans="1:14" x14ac:dyDescent="0.2">
      <c r="A53" s="43" t="s">
        <v>92</v>
      </c>
      <c r="B53" s="44">
        <f>B49-B50-B51-B52+B47</f>
        <v>2511</v>
      </c>
      <c r="C53" s="44">
        <f t="shared" ref="C53:N53" si="24">C49-C50-C51-C52+C47</f>
        <v>5162</v>
      </c>
      <c r="D53" s="44">
        <f t="shared" si="24"/>
        <v>4946</v>
      </c>
      <c r="E53" s="44">
        <f t="shared" si="24"/>
        <v>2256</v>
      </c>
      <c r="F53" s="44">
        <f t="shared" si="24"/>
        <v>3124</v>
      </c>
      <c r="G53" s="44">
        <f t="shared" si="24"/>
        <v>2809</v>
      </c>
      <c r="H53" s="44">
        <f t="shared" si="24"/>
        <v>5636</v>
      </c>
      <c r="I53" s="44">
        <f t="shared" si="24"/>
        <v>7114</v>
      </c>
      <c r="J53" s="44">
        <f t="shared" si="24"/>
        <v>8513.0197692129859</v>
      </c>
      <c r="K53" s="44">
        <f t="shared" si="24"/>
        <v>7771.2313482685531</v>
      </c>
      <c r="L53" s="44">
        <f t="shared" si="24"/>
        <v>8178.6083001395937</v>
      </c>
      <c r="M53" s="44">
        <f t="shared" si="24"/>
        <v>8606.0365334238995</v>
      </c>
      <c r="N53" s="44">
        <f t="shared" si="24"/>
        <v>9054.4946055734508</v>
      </c>
    </row>
    <row r="54" spans="1:14" x14ac:dyDescent="0.2">
      <c r="A54" s="50" t="s">
        <v>93</v>
      </c>
      <c r="B54" s="27">
        <f>[1]Historicals!B76-'[1]Three Statements'!B53</f>
        <v>2169</v>
      </c>
      <c r="C54" s="27">
        <f>[1]Historicals!C76-'[1]Three Statements'!C53</f>
        <v>-2066</v>
      </c>
      <c r="D54" s="27">
        <f>[1]Historicals!D76-'[1]Three Statements'!D53</f>
        <v>-1100</v>
      </c>
      <c r="E54" s="27">
        <f>[1]Historicals!E76-'[1]Three Statements'!E53</f>
        <v>2699</v>
      </c>
      <c r="F54" s="27">
        <f>[1]Historicals!F76-'[1]Three Statements'!F53</f>
        <v>2779</v>
      </c>
      <c r="G54" s="27">
        <f>[1]Historicals!G76-'[1]Three Statements'!G53</f>
        <v>-324</v>
      </c>
      <c r="H54" s="27">
        <f>[1]Historicals!H76-'[1]Three Statements'!H53</f>
        <v>1021</v>
      </c>
      <c r="I54" s="27">
        <f>[1]Historicals!I76-'[1]Three Statements'!I53</f>
        <v>-1926</v>
      </c>
      <c r="J54" s="27">
        <f>[1]Historicals!J76-'[1]Three Statements'!J53</f>
        <v>-7773.0769999999993</v>
      </c>
      <c r="K54" s="27">
        <f>[1]Historicals!K76-'[1]Three Statements'!K53</f>
        <v>-6909.3367729999973</v>
      </c>
      <c r="L54" s="27">
        <f>[1]Historicals!L76-'[1]Three Statements'!L53</f>
        <v>-7317.6702748769967</v>
      </c>
      <c r="M54" s="27">
        <f>[1]Historicals!M76-'[1]Three Statements'!M53</f>
        <v>-7746.0121183459678</v>
      </c>
      <c r="N54" s="27">
        <f>[1]Historicals!N76-'[1]Three Statements'!N53</f>
        <v>-8195.3427121449204</v>
      </c>
    </row>
    <row r="55" spans="1:14" x14ac:dyDescent="0.2">
      <c r="A55" s="43" t="s">
        <v>94</v>
      </c>
      <c r="B55" s="44">
        <f>[1]Historicals!B76</f>
        <v>4680</v>
      </c>
      <c r="C55" s="44">
        <f>[1]Historicals!C76</f>
        <v>3096</v>
      </c>
      <c r="D55" s="44">
        <f>SUM(D53:D54)</f>
        <v>3846</v>
      </c>
      <c r="E55" s="44">
        <f>[1]Historicals!E76</f>
        <v>4955</v>
      </c>
      <c r="F55" s="44">
        <f>[1]Historicals!F76</f>
        <v>5903</v>
      </c>
      <c r="G55" s="44">
        <f>[1]Historicals!G76</f>
        <v>2485</v>
      </c>
      <c r="H55" s="44">
        <f>[1]Historicals!H76</f>
        <v>6657</v>
      </c>
      <c r="I55" s="44">
        <f>[1]Historicals!I76</f>
        <v>5188</v>
      </c>
      <c r="J55" s="44">
        <v>5070</v>
      </c>
      <c r="K55" s="44">
        <v>5700</v>
      </c>
      <c r="L55" s="44">
        <v>5700</v>
      </c>
      <c r="M55" s="44">
        <v>5700</v>
      </c>
      <c r="N55" s="44">
        <v>5700</v>
      </c>
    </row>
    <row r="56" spans="1:14" x14ac:dyDescent="0.2">
      <c r="A56" s="50" t="s">
        <v>95</v>
      </c>
      <c r="B56" s="27">
        <f>SUM([1]Historicals!B78:B81)</f>
        <v>-28</v>
      </c>
      <c r="C56" s="27">
        <f>SUM([1]Historicals!C78:C81)</f>
        <v>-1200</v>
      </c>
      <c r="D56" s="27">
        <f>SUM([1]Historicals!D78:D81)</f>
        <v>-987</v>
      </c>
      <c r="E56" s="27">
        <f>SUM([1]Historicals!E78:E81)</f>
        <v>298</v>
      </c>
      <c r="F56" s="27">
        <f>SUM([1]Historicals!F78:F81)</f>
        <v>-269</v>
      </c>
      <c r="G56" s="27">
        <f>SUM([1]Historicals!G78:G81)</f>
        <v>-1059</v>
      </c>
      <c r="H56" s="27">
        <f>SUM([1]Historicals!H78:H81)</f>
        <v>-3971</v>
      </c>
      <c r="I56" s="27">
        <f>SUM([1]Historicals!I78:I81)</f>
        <v>-1505</v>
      </c>
      <c r="J56" s="27">
        <f>(-6059)+3356+4184+(-969)</f>
        <v>512</v>
      </c>
      <c r="K56" s="27">
        <f>(-4767)+2269+4219+(-812)</f>
        <v>909</v>
      </c>
      <c r="L56" s="27">
        <f t="shared" ref="L56:N56" si="25">(-4767)+2269+4219+(-812)</f>
        <v>909</v>
      </c>
      <c r="M56" s="27">
        <f t="shared" si="25"/>
        <v>909</v>
      </c>
      <c r="N56" s="27">
        <f t="shared" si="25"/>
        <v>909</v>
      </c>
    </row>
    <row r="57" spans="1:14" x14ac:dyDescent="0.2">
      <c r="A57" s="50" t="s">
        <v>96</v>
      </c>
      <c r="B57" s="27">
        <f>B30</f>
        <v>2587</v>
      </c>
      <c r="C57" s="27">
        <f t="shared" ref="C57:N57" si="26">C30</f>
        <v>2439</v>
      </c>
      <c r="D57" s="27">
        <f t="shared" si="26"/>
        <v>2787</v>
      </c>
      <c r="E57" s="27">
        <f t="shared" si="26"/>
        <v>2509</v>
      </c>
      <c r="F57" s="27">
        <f t="shared" si="26"/>
        <v>2011</v>
      </c>
      <c r="G57" s="27">
        <f t="shared" si="26"/>
        <v>2326</v>
      </c>
      <c r="H57" s="27">
        <f t="shared" si="26"/>
        <v>2921</v>
      </c>
      <c r="I57" s="27">
        <f t="shared" si="26"/>
        <v>3821</v>
      </c>
      <c r="J57" s="27">
        <f t="shared" si="26"/>
        <v>3770</v>
      </c>
      <c r="K57" s="27">
        <f t="shared" si="26"/>
        <v>4511</v>
      </c>
      <c r="L57" s="27">
        <f t="shared" si="26"/>
        <v>4511</v>
      </c>
      <c r="M57" s="27">
        <f t="shared" si="26"/>
        <v>4511</v>
      </c>
      <c r="N57" s="27">
        <f t="shared" si="26"/>
        <v>4511</v>
      </c>
    </row>
    <row r="58" spans="1:14" x14ac:dyDescent="0.2">
      <c r="A58" s="43" t="s">
        <v>97</v>
      </c>
      <c r="B58" s="44">
        <f>[1]Historicals!B84</f>
        <v>-175</v>
      </c>
      <c r="C58" s="44">
        <f>SUM(C56:C57)</f>
        <v>1239</v>
      </c>
      <c r="D58" s="44">
        <f t="shared" ref="D58:N58" si="27">SUM(D56:D57)</f>
        <v>1800</v>
      </c>
      <c r="E58" s="44">
        <f t="shared" si="27"/>
        <v>2807</v>
      </c>
      <c r="F58" s="44">
        <f t="shared" si="27"/>
        <v>1742</v>
      </c>
      <c r="G58" s="44">
        <f t="shared" si="27"/>
        <v>1267</v>
      </c>
      <c r="H58" s="44">
        <f t="shared" si="27"/>
        <v>-1050</v>
      </c>
      <c r="I58" s="44">
        <f t="shared" si="27"/>
        <v>2316</v>
      </c>
      <c r="J58" s="44">
        <f t="shared" si="27"/>
        <v>4282</v>
      </c>
      <c r="K58" s="44">
        <f t="shared" si="27"/>
        <v>5420</v>
      </c>
      <c r="L58" s="44">
        <f t="shared" si="27"/>
        <v>5420</v>
      </c>
      <c r="M58" s="44">
        <f t="shared" si="27"/>
        <v>5420</v>
      </c>
      <c r="N58" s="44">
        <f t="shared" si="27"/>
        <v>5420</v>
      </c>
    </row>
    <row r="59" spans="1:14" x14ac:dyDescent="0.2">
      <c r="A59" s="50" t="s">
        <v>98</v>
      </c>
      <c r="B59" s="27">
        <f>[1]Historicals!B91+[1]Historicals!B93</f>
        <v>-2020</v>
      </c>
      <c r="C59" s="27">
        <f>[1]Historicals!C91+[1]Historicals!C93</f>
        <v>-2731</v>
      </c>
      <c r="D59" s="27">
        <f>[1]Historicals!D91+[1]Historicals!D93</f>
        <v>-2734</v>
      </c>
      <c r="E59" s="27">
        <f>[1]Historicals!E91+[1]Historicals!E93</f>
        <v>-3521</v>
      </c>
      <c r="F59" s="27">
        <f>[1]Historicals!F91+[1]Historicals!F93</f>
        <v>-3586</v>
      </c>
      <c r="G59" s="27">
        <f>[1]Historicals!G91+[1]Historicals!G93</f>
        <v>-2182</v>
      </c>
      <c r="H59" s="27">
        <f>[1]Historicals!H91+[1]Historicals!H93</f>
        <v>564</v>
      </c>
      <c r="I59" s="27">
        <f>[1]Historicals!I91+[1]Historicals!I93</f>
        <v>-2863</v>
      </c>
      <c r="J59" s="27">
        <f>651+(-5480)</f>
        <v>-4829</v>
      </c>
      <c r="K59" s="27">
        <f>667+(-4250)</f>
        <v>-3583</v>
      </c>
      <c r="L59" s="27">
        <f t="shared" ref="L59:N59" si="28">667+(-4250)</f>
        <v>-3583</v>
      </c>
      <c r="M59" s="27">
        <f t="shared" si="28"/>
        <v>-3583</v>
      </c>
      <c r="N59" s="27">
        <f t="shared" si="28"/>
        <v>-3583</v>
      </c>
    </row>
    <row r="60" spans="1:14" x14ac:dyDescent="0.2">
      <c r="A60" s="50" t="s">
        <v>99</v>
      </c>
      <c r="B60" s="27">
        <f>B41-(B15+(B59/B73))</f>
        <v>2934.1247518847622</v>
      </c>
      <c r="C60" s="27">
        <f>C41-(C15+(C59/$B$73))</f>
        <v>2432.7339096026162</v>
      </c>
      <c r="D60" s="27">
        <f t="shared" ref="D60:N60" si="29">D41-(D15+(D59/$B$73))</f>
        <v>5239.2605305212564</v>
      </c>
      <c r="E60" s="27">
        <f t="shared" si="29"/>
        <v>1889.1440848446766</v>
      </c>
      <c r="F60" s="27">
        <f t="shared" si="29"/>
        <v>56.420871415225747</v>
      </c>
      <c r="G60" s="27">
        <f t="shared" si="29"/>
        <v>-1763.2377185086384</v>
      </c>
      <c r="H60" s="27">
        <f t="shared" si="29"/>
        <v>1564.5952672955416</v>
      </c>
      <c r="I60" s="27">
        <f t="shared" si="29"/>
        <v>1890.6052300228087</v>
      </c>
      <c r="J60" s="27">
        <f t="shared" si="29"/>
        <v>-209.9491946279627</v>
      </c>
      <c r="K60" s="27">
        <f t="shared" si="29"/>
        <v>-614.00574950341479</v>
      </c>
      <c r="L60" s="27">
        <f t="shared" si="29"/>
        <v>-614.00574950341479</v>
      </c>
      <c r="M60" s="27">
        <f t="shared" si="29"/>
        <v>-614.00574950341479</v>
      </c>
      <c r="N60" s="27">
        <f t="shared" si="29"/>
        <v>-614.00574950341479</v>
      </c>
    </row>
    <row r="61" spans="1:14" x14ac:dyDescent="0.2">
      <c r="A61" s="51" t="s">
        <v>14</v>
      </c>
      <c r="B61" s="46" t="str">
        <f>IFERROR(B59/A59-1,"nm")</f>
        <v>nm</v>
      </c>
      <c r="C61" s="46">
        <f t="shared" ref="C61:N61" si="30">IFERROR(C59/B59-1,"nm")</f>
        <v>0.35198019801980207</v>
      </c>
      <c r="D61" s="46">
        <f t="shared" si="30"/>
        <v>1.0984987184181616E-3</v>
      </c>
      <c r="E61" s="46">
        <f t="shared" si="30"/>
        <v>0.28785662033650339</v>
      </c>
      <c r="F61" s="46">
        <f t="shared" si="30"/>
        <v>1.8460664583924924E-2</v>
      </c>
      <c r="G61" s="46">
        <f t="shared" si="30"/>
        <v>-0.39152258784160621</v>
      </c>
      <c r="H61" s="46">
        <f t="shared" si="30"/>
        <v>-1.2584784601283228</v>
      </c>
      <c r="I61" s="46">
        <f t="shared" si="30"/>
        <v>-6.0762411347517729</v>
      </c>
      <c r="J61" s="46">
        <f t="shared" si="30"/>
        <v>0.68669228082431011</v>
      </c>
      <c r="K61" s="46">
        <f t="shared" si="30"/>
        <v>-0.25802443570097333</v>
      </c>
      <c r="L61" s="46">
        <f t="shared" si="30"/>
        <v>0</v>
      </c>
      <c r="M61" s="46">
        <f t="shared" si="30"/>
        <v>0</v>
      </c>
      <c r="N61" s="46">
        <f t="shared" si="30"/>
        <v>0</v>
      </c>
    </row>
    <row r="62" spans="1:14" x14ac:dyDescent="0.2">
      <c r="A62" s="50" t="s">
        <v>100</v>
      </c>
      <c r="B62" s="27">
        <f>[1]Historicals!B94</f>
        <v>-899</v>
      </c>
      <c r="C62" s="27">
        <f>[1]Historicals!C94</f>
        <v>-1022</v>
      </c>
      <c r="D62" s="27">
        <f>[1]Historicals!D94</f>
        <v>-1133</v>
      </c>
      <c r="E62" s="27">
        <f>[1]Historicals!E94</f>
        <v>-1243</v>
      </c>
      <c r="F62" s="27">
        <f>[1]Historicals!F94</f>
        <v>-1332</v>
      </c>
      <c r="G62" s="27">
        <f>[1]Historicals!G94</f>
        <v>-1452</v>
      </c>
      <c r="H62" s="27">
        <f>[1]Historicals!H94</f>
        <v>-1638</v>
      </c>
      <c r="I62" s="27">
        <f>[1]Historicals!I94</f>
        <v>-1837</v>
      </c>
      <c r="J62" s="27">
        <v>-2012</v>
      </c>
      <c r="K62" s="27">
        <v>-2169</v>
      </c>
      <c r="L62" s="27">
        <v>-2169</v>
      </c>
      <c r="M62" s="27">
        <v>-2169</v>
      </c>
      <c r="N62" s="27">
        <v>-2169</v>
      </c>
    </row>
    <row r="63" spans="1:14" x14ac:dyDescent="0.2">
      <c r="A63" s="50" t="s">
        <v>101</v>
      </c>
      <c r="B63" s="27">
        <f>[1]Historicals!B86+[1]Historicals!B88+[1]Historicals!B90</f>
        <v>-70</v>
      </c>
      <c r="C63" s="27">
        <f>[1]Historicals!C86+[1]Historicals!C88+[1]Historicals!C90</f>
        <v>808</v>
      </c>
      <c r="D63" s="27">
        <f>[1]Historicals!D86+[1]Historicals!D88+[1]Historicals!D90</f>
        <v>1765</v>
      </c>
      <c r="E63" s="27">
        <f>[1]Historicals!E86+[1]Historicals!E88+[1]Historicals!E90</f>
        <v>7</v>
      </c>
      <c r="F63" s="27">
        <f>[1]Historicals!F86+[1]Historicals!F88+[1]Historicals!F90</f>
        <v>-325</v>
      </c>
      <c r="G63" s="27">
        <f>[1]Historicals!G86+[1]Historicals!G88+[1]Historicals!G90</f>
        <v>6183</v>
      </c>
      <c r="H63" s="27">
        <f>[1]Historicals!H86+[1]Historicals!H88+[1]Historicals!H90</f>
        <v>-249</v>
      </c>
      <c r="I63" s="27">
        <f>[1]Historicals!I86+[1]Historicals!I88+[1]Historicals!I90</f>
        <v>15</v>
      </c>
      <c r="J63" s="27">
        <f>-4+(-500)+651</f>
        <v>147</v>
      </c>
      <c r="K63" s="27">
        <v>667</v>
      </c>
      <c r="L63" s="27">
        <v>667</v>
      </c>
      <c r="M63" s="27">
        <v>667</v>
      </c>
      <c r="N63" s="27">
        <v>667</v>
      </c>
    </row>
    <row r="64" spans="1:14" x14ac:dyDescent="0.2">
      <c r="A64" s="50" t="s">
        <v>102</v>
      </c>
      <c r="B64" s="27">
        <f>[1]Historicals!B95</f>
        <v>199</v>
      </c>
      <c r="C64" s="27">
        <f>[1]Historicals!C95</f>
        <v>274</v>
      </c>
      <c r="D64" s="27">
        <f>[1]Historicals!D95</f>
        <v>-46</v>
      </c>
      <c r="E64" s="27">
        <f>[1]Historicals!E95</f>
        <v>-78</v>
      </c>
      <c r="F64" s="27">
        <f>[1]Historicals!F95</f>
        <v>-50</v>
      </c>
      <c r="G64" s="27">
        <f>[1]Historicals!G95</f>
        <v>-58</v>
      </c>
      <c r="H64" s="27">
        <f>[1]Historicals!H95</f>
        <v>-136</v>
      </c>
      <c r="I64" s="27">
        <f>[1]Historicals!I95</f>
        <v>-151</v>
      </c>
      <c r="J64" s="27">
        <v>-102</v>
      </c>
      <c r="K64" s="27">
        <v>-136</v>
      </c>
      <c r="L64" s="27">
        <v>-136</v>
      </c>
      <c r="M64" s="27">
        <v>-136</v>
      </c>
      <c r="N64" s="27">
        <v>-136</v>
      </c>
    </row>
    <row r="65" spans="1:14" x14ac:dyDescent="0.2">
      <c r="A65" s="43" t="s">
        <v>103</v>
      </c>
      <c r="B65" s="44">
        <f>B59+B62+B63+B64</f>
        <v>-2790</v>
      </c>
      <c r="C65" s="44">
        <f t="shared" ref="C65:N65" si="31">C59+C62+C63+C64</f>
        <v>-2671</v>
      </c>
      <c r="D65" s="44">
        <f t="shared" si="31"/>
        <v>-2148</v>
      </c>
      <c r="E65" s="44">
        <f t="shared" si="31"/>
        <v>-4835</v>
      </c>
      <c r="F65" s="44">
        <f t="shared" si="31"/>
        <v>-5293</v>
      </c>
      <c r="G65" s="44">
        <f t="shared" si="31"/>
        <v>2491</v>
      </c>
      <c r="H65" s="44">
        <f t="shared" si="31"/>
        <v>-1459</v>
      </c>
      <c r="I65" s="44">
        <f t="shared" si="31"/>
        <v>-4836</v>
      </c>
      <c r="J65" s="44">
        <f t="shared" si="31"/>
        <v>-6796</v>
      </c>
      <c r="K65" s="44">
        <f t="shared" si="31"/>
        <v>-5221</v>
      </c>
      <c r="L65" s="44">
        <f t="shared" si="31"/>
        <v>-5221</v>
      </c>
      <c r="M65" s="44">
        <f t="shared" si="31"/>
        <v>-5221</v>
      </c>
      <c r="N65" s="44">
        <f t="shared" si="31"/>
        <v>-5221</v>
      </c>
    </row>
    <row r="66" spans="1:14" x14ac:dyDescent="0.2">
      <c r="A66" s="50" t="s">
        <v>104</v>
      </c>
      <c r="B66" s="27">
        <f>[1]Historicals!B98</f>
        <v>-83</v>
      </c>
      <c r="C66" s="27">
        <f>[1]Historicals!C98</f>
        <v>-105</v>
      </c>
      <c r="D66" s="27">
        <f>[1]Historicals!D98</f>
        <v>-20</v>
      </c>
      <c r="E66" s="27">
        <f>[1]Historicals!E98</f>
        <v>45</v>
      </c>
      <c r="F66" s="27">
        <f>[1]Historicals!F98</f>
        <v>-129</v>
      </c>
      <c r="G66" s="27">
        <f>[1]Historicals!G98</f>
        <v>-66</v>
      </c>
      <c r="H66" s="27">
        <f>[1]Historicals!H98</f>
        <v>143</v>
      </c>
      <c r="I66" s="27">
        <f>[1]Historicals!I98</f>
        <v>-143</v>
      </c>
      <c r="J66" s="27">
        <v>-91</v>
      </c>
      <c r="K66" s="27">
        <v>-16</v>
      </c>
      <c r="L66" s="27">
        <v>-16</v>
      </c>
      <c r="M66" s="27">
        <v>-16</v>
      </c>
      <c r="N66" s="27">
        <v>-16</v>
      </c>
    </row>
    <row r="67" spans="1:14" x14ac:dyDescent="0.2">
      <c r="A67" s="43" t="s">
        <v>105</v>
      </c>
      <c r="B67" s="44">
        <f t="shared" ref="B67:N67" si="32">B55+B58+B65+B66</f>
        <v>1632</v>
      </c>
      <c r="C67" s="44">
        <f t="shared" si="32"/>
        <v>1559</v>
      </c>
      <c r="D67" s="44">
        <f t="shared" si="32"/>
        <v>3478</v>
      </c>
      <c r="E67" s="44">
        <f t="shared" si="32"/>
        <v>2972</v>
      </c>
      <c r="F67" s="44">
        <f t="shared" si="32"/>
        <v>2223</v>
      </c>
      <c r="G67" s="44">
        <f t="shared" si="32"/>
        <v>6177</v>
      </c>
      <c r="H67" s="44">
        <f t="shared" si="32"/>
        <v>4291</v>
      </c>
      <c r="I67" s="44">
        <f t="shared" si="32"/>
        <v>2525</v>
      </c>
      <c r="J67" s="44">
        <f t="shared" si="32"/>
        <v>2465</v>
      </c>
      <c r="K67" s="44">
        <f t="shared" si="32"/>
        <v>5883</v>
      </c>
      <c r="L67" s="44">
        <f t="shared" si="32"/>
        <v>5883</v>
      </c>
      <c r="M67" s="44">
        <f t="shared" si="32"/>
        <v>5883</v>
      </c>
      <c r="N67" s="44">
        <f t="shared" si="32"/>
        <v>5883</v>
      </c>
    </row>
    <row r="68" spans="1:14" x14ac:dyDescent="0.2">
      <c r="A68" s="50" t="s">
        <v>106</v>
      </c>
      <c r="B68" s="27">
        <f>[1]Historicals!B100</f>
        <v>2220</v>
      </c>
      <c r="C68" s="27">
        <f>[1]Historicals!C100</f>
        <v>3852</v>
      </c>
      <c r="D68" s="27">
        <f>[1]Historicals!D100</f>
        <v>3138</v>
      </c>
      <c r="E68" s="27">
        <f>[1]Historicals!E100</f>
        <v>3808</v>
      </c>
      <c r="F68" s="27">
        <f>[1]Historicals!F100</f>
        <v>4249</v>
      </c>
      <c r="G68" s="27">
        <f>[1]Historicals!G100</f>
        <v>4466</v>
      </c>
      <c r="H68" s="27">
        <f>[1]Historicals!H100</f>
        <v>8348</v>
      </c>
      <c r="I68" s="27">
        <f>[1]Historicals!I100</f>
        <v>9889</v>
      </c>
      <c r="J68" s="27">
        <v>8574</v>
      </c>
      <c r="K68" s="27">
        <v>7441</v>
      </c>
      <c r="L68" s="27">
        <v>7441</v>
      </c>
      <c r="M68" s="27">
        <v>7441</v>
      </c>
      <c r="N68" s="27">
        <v>7441</v>
      </c>
    </row>
    <row r="69" spans="1:14" x14ac:dyDescent="0.2">
      <c r="A69" s="43" t="s">
        <v>107</v>
      </c>
      <c r="B69" s="44">
        <f>B21</f>
        <v>3852</v>
      </c>
      <c r="C69" s="44">
        <f t="shared" ref="C69:N69" si="33">C21</f>
        <v>3138</v>
      </c>
      <c r="D69" s="44">
        <f t="shared" si="33"/>
        <v>3808</v>
      </c>
      <c r="E69" s="44">
        <f t="shared" si="33"/>
        <v>4249</v>
      </c>
      <c r="F69" s="44">
        <f t="shared" si="33"/>
        <v>4466</v>
      </c>
      <c r="G69" s="44">
        <f t="shared" si="33"/>
        <v>8348</v>
      </c>
      <c r="H69" s="44">
        <f t="shared" si="33"/>
        <v>9889</v>
      </c>
      <c r="I69" s="44">
        <f t="shared" si="33"/>
        <v>8574</v>
      </c>
      <c r="J69" s="44">
        <f t="shared" si="33"/>
        <v>7441</v>
      </c>
      <c r="K69" s="44">
        <f t="shared" si="33"/>
        <v>9860</v>
      </c>
      <c r="L69" s="44">
        <f t="shared" si="33"/>
        <v>9860</v>
      </c>
      <c r="M69" s="44">
        <f t="shared" si="33"/>
        <v>9860</v>
      </c>
      <c r="N69" s="44">
        <f t="shared" si="33"/>
        <v>9860</v>
      </c>
    </row>
    <row r="70" spans="1:14" x14ac:dyDescent="0.2">
      <c r="A70" s="55" t="s">
        <v>85</v>
      </c>
      <c r="B70" s="58">
        <f t="shared" ref="B70:N70" si="34">+B69-B21</f>
        <v>0</v>
      </c>
      <c r="C70" s="58">
        <f t="shared" si="34"/>
        <v>0</v>
      </c>
      <c r="D70" s="58">
        <f t="shared" si="34"/>
        <v>0</v>
      </c>
      <c r="E70" s="58">
        <f t="shared" si="34"/>
        <v>0</v>
      </c>
      <c r="F70" s="58">
        <f t="shared" si="34"/>
        <v>0</v>
      </c>
      <c r="G70" s="58">
        <f t="shared" si="34"/>
        <v>0</v>
      </c>
      <c r="H70" s="58">
        <f t="shared" si="34"/>
        <v>0</v>
      </c>
      <c r="I70" s="58">
        <f t="shared" si="34"/>
        <v>0</v>
      </c>
      <c r="J70" s="58">
        <f t="shared" si="34"/>
        <v>0</v>
      </c>
      <c r="K70" s="58">
        <f t="shared" si="34"/>
        <v>0</v>
      </c>
      <c r="L70" s="58">
        <f t="shared" si="34"/>
        <v>0</v>
      </c>
      <c r="M70" s="58">
        <f t="shared" si="34"/>
        <v>0</v>
      </c>
      <c r="N70" s="58">
        <f t="shared" si="34"/>
        <v>0</v>
      </c>
    </row>
    <row r="71" spans="1:14" x14ac:dyDescent="0.2">
      <c r="A71" s="43" t="s">
        <v>108</v>
      </c>
      <c r="B71" s="59">
        <f t="shared" ref="B71:N71" si="35">SUM(B55,B58,B65)</f>
        <v>1715</v>
      </c>
      <c r="C71" s="59">
        <f t="shared" si="35"/>
        <v>1664</v>
      </c>
      <c r="D71" s="59">
        <f t="shared" si="35"/>
        <v>3498</v>
      </c>
      <c r="E71" s="59">
        <f t="shared" si="35"/>
        <v>2927</v>
      </c>
      <c r="F71" s="59">
        <f t="shared" si="35"/>
        <v>2352</v>
      </c>
      <c r="G71" s="59">
        <f t="shared" si="35"/>
        <v>6243</v>
      </c>
      <c r="H71" s="59">
        <f t="shared" si="35"/>
        <v>4148</v>
      </c>
      <c r="I71" s="59">
        <f t="shared" si="35"/>
        <v>2668</v>
      </c>
      <c r="J71" s="59">
        <f t="shared" si="35"/>
        <v>2556</v>
      </c>
      <c r="K71" s="59">
        <f t="shared" si="35"/>
        <v>5899</v>
      </c>
      <c r="L71" s="59">
        <f t="shared" si="35"/>
        <v>5899</v>
      </c>
      <c r="M71" s="59">
        <f t="shared" si="35"/>
        <v>5899</v>
      </c>
      <c r="N71" s="59">
        <f t="shared" si="35"/>
        <v>5899</v>
      </c>
    </row>
    <row r="73" spans="1:14" x14ac:dyDescent="0.2">
      <c r="A73" t="s">
        <v>109</v>
      </c>
      <c r="B73" s="26">
        <v>112.69333115384613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Schedules</vt:lpstr>
      <vt:lpstr>Finalised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2020-05-20T17:26:08Z</dcterms:created>
  <dcterms:modified xsi:type="dcterms:W3CDTF">2024-11-28T00:05:15Z</dcterms:modified>
</cp:coreProperties>
</file>