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parnwardphadungyot/Desktop/"/>
    </mc:Choice>
  </mc:AlternateContent>
  <xr:revisionPtr revIDLastSave="0" documentId="8_{13C8255A-2302-9644-932C-4A977CDBBCEE}" xr6:coauthVersionLast="47" xr6:coauthVersionMax="47" xr10:uidLastSave="{00000000-0000-0000-0000-000000000000}"/>
  <bookViews>
    <workbookView xWindow="0" yWindow="740" windowWidth="29400" windowHeight="1466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3" l="1"/>
  <c r="C50" i="3" s="1"/>
  <c r="D51" i="3"/>
  <c r="D50" i="3" s="1"/>
  <c r="D48" i="3"/>
  <c r="C48" i="3"/>
  <c r="D31" i="3"/>
  <c r="D30" i="3" s="1"/>
  <c r="C30" i="3"/>
  <c r="C31" i="3"/>
  <c r="D29" i="3" l="1"/>
  <c r="C29" i="3"/>
  <c r="D46" i="3"/>
  <c r="C46" i="3"/>
  <c r="D45" i="3"/>
  <c r="D44" i="3"/>
  <c r="C44" i="3"/>
  <c r="C45" i="3"/>
  <c r="D47" i="3"/>
  <c r="C47" i="3"/>
  <c r="C49" i="3"/>
  <c r="D49" i="3"/>
  <c r="D37" i="3"/>
  <c r="D42" i="3"/>
  <c r="C42" i="3"/>
  <c r="D43" i="3"/>
  <c r="C43" i="3"/>
  <c r="C40" i="3"/>
  <c r="D40" i="3"/>
  <c r="C37" i="3"/>
  <c r="D36" i="3"/>
  <c r="C36" i="3"/>
  <c r="D35" i="3"/>
  <c r="C35" i="3"/>
  <c r="D34" i="3"/>
  <c r="C34" i="3"/>
  <c r="D28" i="3"/>
  <c r="C28" i="3"/>
  <c r="D27" i="3"/>
  <c r="C27" i="3"/>
  <c r="D26" i="3"/>
  <c r="C26" i="3"/>
  <c r="D25" i="3"/>
  <c r="C25" i="3"/>
  <c r="D22" i="3"/>
  <c r="C22" i="3"/>
  <c r="D19" i="3"/>
  <c r="C19" i="3"/>
  <c r="D18" i="3"/>
  <c r="C18" i="3"/>
  <c r="D20" i="3"/>
  <c r="D21" i="3"/>
  <c r="C20" i="3"/>
  <c r="C21" i="3"/>
  <c r="D17" i="3"/>
  <c r="C17" i="3"/>
  <c r="D14" i="3" l="1"/>
  <c r="C14" i="3"/>
  <c r="D13" i="3"/>
  <c r="C13" i="3"/>
  <c r="D11" i="3"/>
  <c r="D12" i="3" s="1"/>
  <c r="C11" i="3"/>
  <c r="C12" i="3" s="1"/>
  <c r="D10" i="3"/>
  <c r="C10" i="3"/>
  <c r="D9" i="3"/>
  <c r="C9" i="3"/>
  <c r="D8" i="3"/>
  <c r="C8" i="3"/>
  <c r="D7" i="3"/>
  <c r="C7" i="3"/>
  <c r="D6" i="3"/>
  <c r="C6" i="3"/>
  <c r="D5" i="3"/>
  <c r="C5" i="3"/>
  <c r="C111" i="2"/>
  <c r="B111" i="2"/>
  <c r="C108" i="2"/>
  <c r="B108" i="2"/>
  <c r="C99" i="2"/>
  <c r="B99" i="2"/>
  <c r="C92" i="2"/>
  <c r="B92" i="2"/>
  <c r="C71" i="2"/>
  <c r="B71" i="2"/>
  <c r="C63" i="2"/>
  <c r="B63" i="2"/>
  <c r="C58" i="2"/>
  <c r="B58" i="2"/>
  <c r="B52" i="2"/>
  <c r="C52" i="2"/>
  <c r="B46" i="2"/>
  <c r="C46" i="2"/>
  <c r="C24" i="2"/>
  <c r="C25" i="2" s="1"/>
  <c r="C28" i="2" s="1"/>
  <c r="B24" i="2"/>
  <c r="B25" i="2" s="1"/>
  <c r="B28" i="2" s="1"/>
  <c r="C19" i="2"/>
  <c r="B19" i="2"/>
  <c r="B8" i="2"/>
  <c r="B12" i="2" s="1"/>
  <c r="C8" i="2"/>
  <c r="C12" i="2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64" i="2" l="1"/>
  <c r="C72" i="2" s="1"/>
  <c r="B64" i="2"/>
  <c r="B72" i="2" s="1"/>
  <c r="C53" i="2"/>
  <c r="B53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<sst xmlns="http://schemas.openxmlformats.org/spreadsheetml/2006/main" count="164" uniqueCount="154">
  <si>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</si>
  <si>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</si>
  <si>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</si>
  <si>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</si>
  <si>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</si>
  <si>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</si>
  <si>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</si>
  <si>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</si>
  <si>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</si>
  <si>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</si>
  <si>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</si>
  <si>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</si>
  <si>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</si>
  <si>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</si>
  <si>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</si>
  <si>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</si>
  <si>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</si>
  <si>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</si>
  <si>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</si>
  <si>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</si>
  <si>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</si>
  <si>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</si>
  <si>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</si>
  <si>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</si>
  <si>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</si>
  <si>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</si>
  <si>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</si>
  <si>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</si>
  <si>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</si>
  <si>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</si>
  <si>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</si>
  <si>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</si>
  <si>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</si>
  <si>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</si>
  <si>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</si>
  <si>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</si>
  <si>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</si>
  <si>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</si>
  <si>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</si>
  <si>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</si>
  <si>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</si>
  <si>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</si>
  <si>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</si>
  <si>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</si>
  <si>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</si>
  <si>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</si>
  <si>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</si>
  <si>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</si>
  <si>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</si>
  <si>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</si>
  <si>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</si>
  <si>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</si>
  <si>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</si>
  <si>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</si>
  <si>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</si>
  <si>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</si>
  <si>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</si>
  <si>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</si>
  <si>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</si>
  <si>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</si>
  <si>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</si>
  <si>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</si>
  <si>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</si>
  <si>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</si>
  <si>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</si>
  <si>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</si>
  <si>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</si>
  <si>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</si>
  <si>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</si>
  <si>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</si>
  <si>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</si>
  <si>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</si>
  <si>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Technology and Content</t>
  </si>
  <si>
    <t>Sales and Marketing</t>
  </si>
  <si>
    <t>General and Adminstrative</t>
  </si>
  <si>
    <t>Total Operating Expense</t>
  </si>
  <si>
    <t xml:space="preserve">    Fulfillment</t>
  </si>
  <si>
    <t xml:space="preserve">   Other income/(expense), net</t>
  </si>
  <si>
    <t>Interest Income</t>
  </si>
  <si>
    <t>Interest Expense</t>
  </si>
  <si>
    <t>Other Income/(Expense), net</t>
  </si>
  <si>
    <t>Income before Provision for Income Taxes</t>
  </si>
  <si>
    <t>Total Operating Income</t>
  </si>
  <si>
    <t>Operating Income</t>
  </si>
  <si>
    <t>Provision for income tax</t>
  </si>
  <si>
    <t>Equity-method investment activity, net of tax</t>
  </si>
  <si>
    <t>Net Income (Loss)</t>
  </si>
  <si>
    <t>Assets</t>
  </si>
  <si>
    <t>Current assets</t>
  </si>
  <si>
    <t>Cash and cash equivalents</t>
  </si>
  <si>
    <t>Marketable securities</t>
  </si>
  <si>
    <t>Inventories</t>
  </si>
  <si>
    <t>Accounts receivable, net and other</t>
  </si>
  <si>
    <t>Total cuurent assets</t>
  </si>
  <si>
    <t>Property and equipment, net</t>
  </si>
  <si>
    <t>Operating Leases</t>
  </si>
  <si>
    <t>Goodwill</t>
  </si>
  <si>
    <t>Other assets</t>
  </si>
  <si>
    <t>Total Assets</t>
  </si>
  <si>
    <t>Non-Current assets</t>
  </si>
  <si>
    <t>Total non-current assets</t>
  </si>
  <si>
    <t>Current Liabiliites</t>
  </si>
  <si>
    <t>Accounts payable</t>
  </si>
  <si>
    <t>Accrued expenses and other</t>
  </si>
  <si>
    <t>Unearned revenue</t>
  </si>
  <si>
    <t>Total Current Liabilities</t>
  </si>
  <si>
    <t>Long-term debt</t>
  </si>
  <si>
    <t>Other Long-term liabilities</t>
  </si>
  <si>
    <t>Non-current liabilities</t>
  </si>
  <si>
    <t>Total Non-current liabilities</t>
  </si>
  <si>
    <t>Total Liabiliites</t>
  </si>
  <si>
    <t>Stockholders'equity</t>
  </si>
  <si>
    <t>Common stock</t>
  </si>
  <si>
    <t>Treasury stock, at cost</t>
  </si>
  <si>
    <t>Total liabilities and stockholders'equity</t>
  </si>
  <si>
    <t>Additional paid-in capital</t>
  </si>
  <si>
    <t>Accumulated other comprehensive income (loss)</t>
  </si>
  <si>
    <t>Retained earnings</t>
  </si>
  <si>
    <t>Total stockholders'equity</t>
  </si>
  <si>
    <t>Cash, cash equivalents and restricted cash, beginning balances</t>
  </si>
  <si>
    <t>Operating activities:</t>
  </si>
  <si>
    <t>Net income</t>
  </si>
  <si>
    <t>Adjustments to reconcile net income to cash generated by operating</t>
  </si>
  <si>
    <t>Depreciation and amortization</t>
  </si>
  <si>
    <t>Stock-based compensation</t>
  </si>
  <si>
    <t>Other expense (income), net</t>
  </si>
  <si>
    <t>Deferred income taxes</t>
  </si>
  <si>
    <t xml:space="preserve">Change in operating assets and liabilities </t>
  </si>
  <si>
    <t xml:space="preserve">Net cash provided by (used in) operating activities </t>
  </si>
  <si>
    <t>Investing Activities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</si>
  <si>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</si>
  <si>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</si>
  <si>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</si>
  <si>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</si>
  <si>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 xml:space="preserve">Purchases of marketable securities </t>
  </si>
  <si>
    <t xml:space="preserve">Net cash provided by (used in) investing activities </t>
  </si>
  <si>
    <t>Financing Activities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</si>
  <si>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</si>
  <si>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</si>
  <si>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</si>
  <si>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</si>
  <si>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</si>
  <si>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</si>
  <si>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finance obligations</t>
  </si>
  <si>
    <t xml:space="preserve">Net cash provided by (used in) financial activities </t>
  </si>
  <si>
    <t>Foreign currency effect on cash, cash equivalents, and retricted cash</t>
  </si>
  <si>
    <t>Net increases (decrease) in cash, cash equivalents, and restricted cash</t>
  </si>
  <si>
    <t>Cash, cash equivalents, and restricted cash, end of period</t>
  </si>
  <si>
    <t>Long-term lease liabilities</t>
  </si>
  <si>
    <t>Earnings per share:</t>
  </si>
  <si>
    <t>Basic</t>
  </si>
  <si>
    <t>Diluted</t>
  </si>
  <si>
    <t>Shares used in computing earnings per share:</t>
  </si>
  <si>
    <t>Market capitalisation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</si>
</sst>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000000"/>
      <name val="Helvetica"/>
      <family val="2"/>
    </font>
    <font>
      <sz val="10"/>
      <color theme="1"/>
      <name val="Arial Unicode MS"/>
      <family val="2"/>
    </font>
    <font>
      <sz val="14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164" fontId="0" fillId="0" borderId="3" xfId="1" applyNumberFormat="1" applyFont="1" applyBorder="1"/>
    <xf numFmtId="164" fontId="0" fillId="0" borderId="0" xfId="1" applyNumberFormat="1" applyFont="1" applyBorder="1"/>
    <xf numFmtId="164" fontId="2" fillId="0" borderId="0" xfId="1" applyNumberFormat="1" applyFont="1" applyBorder="1"/>
    <xf numFmtId="164" fontId="1" fillId="0" borderId="0" xfId="1" applyNumberFormat="1" applyFont="1" applyBorder="1"/>
    <xf numFmtId="43" fontId="1" fillId="0" borderId="0" xfId="1" applyFont="1" applyBorder="1"/>
    <xf numFmtId="0" fontId="2" fillId="0" borderId="4" xfId="0" applyFont="1" applyBorder="1"/>
    <xf numFmtId="164" fontId="0" fillId="0" borderId="4" xfId="1" applyNumberFormat="1" applyFont="1" applyBorder="1"/>
    <xf numFmtId="0" fontId="2" fillId="0" borderId="4" xfId="0" applyFont="1" applyBorder="1" applyAlignment="1">
      <alignment horizontal="left" indent="1"/>
    </xf>
    <xf numFmtId="164" fontId="2" fillId="0" borderId="4" xfId="1" applyNumberFormat="1" applyFont="1" applyBorder="1"/>
    <xf numFmtId="0" fontId="8" fillId="0" borderId="0" xfId="0" applyFont="1"/>
    <xf numFmtId="0" fontId="0" fillId="0" borderId="3" xfId="0" applyBorder="1" applyAlignment="1">
      <alignment horizontal="left" indent="1"/>
    </xf>
    <xf numFmtId="41" fontId="0" fillId="0" borderId="0" xfId="3" applyNumberFormat="1" applyFont="1"/>
    <xf numFmtId="41" fontId="0" fillId="0" borderId="0" xfId="1" applyNumberFormat="1" applyFont="1"/>
    <xf numFmtId="41" fontId="2" fillId="0" borderId="1" xfId="1" applyNumberFormat="1" applyFont="1" applyBorder="1"/>
    <xf numFmtId="41" fontId="2" fillId="0" borderId="2" xfId="1" applyNumberFormat="1" applyFont="1" applyBorder="1"/>
    <xf numFmtId="41" fontId="2" fillId="0" borderId="0" xfId="1" applyNumberFormat="1" applyFont="1"/>
    <xf numFmtId="41" fontId="0" fillId="0" borderId="3" xfId="1" applyNumberFormat="1" applyFont="1" applyBorder="1"/>
    <xf numFmtId="41" fontId="0" fillId="0" borderId="4" xfId="1" applyNumberFormat="1" applyFont="1" applyBorder="1"/>
    <xf numFmtId="41" fontId="0" fillId="0" borderId="0" xfId="1" applyNumberFormat="1" applyFont="1" applyBorder="1"/>
    <xf numFmtId="0" fontId="0" fillId="0" borderId="4" xfId="0" applyBorder="1" applyAlignment="1">
      <alignment horizontal="left" indent="1"/>
    </xf>
    <xf numFmtId="0" fontId="0" fillId="0" borderId="1" xfId="0" applyBorder="1"/>
    <xf numFmtId="0" fontId="9" fillId="0" borderId="0" xfId="0" applyFont="1"/>
    <xf numFmtId="43" fontId="0" fillId="0" borderId="0" xfId="0" applyNumberFormat="1"/>
    <xf numFmtId="43" fontId="0" fillId="4" borderId="0" xfId="3" applyNumberFormat="1" applyFont="1" applyFill="1"/>
    <xf numFmtId="43" fontId="9" fillId="0" borderId="0" xfId="0" applyNumberFormat="1" applyFont="1"/>
    <xf numFmtId="3" fontId="10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0" fillId="0" borderId="0" xfId="0" applyFont="1"/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/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topLeftCell="A75" zoomScale="150" workbookViewId="0">
      <selection activeCell="B94" sqref="B94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51" t="s">
        <v>10</v>
      </c>
      <c r="B2" s="51"/>
      <c r="C2" s="51"/>
      <c r="D2" s="51"/>
    </row>
    <row r="3" spans="1:10" x14ac:dyDescent="0.2">
      <c r="B3" s="50" t="s">
        <v>57</v>
      </c>
      <c r="C3" s="50"/>
      <c r="D3" s="50"/>
    </row>
    <row r="4" spans="1:10" x14ac:dyDescent="0.2">
      <c r="B4" s="9">
        <v>2022</v>
      </c>
      <c r="C4" s="9">
        <v>2021</v>
      </c>
      <c r="D4" s="9"/>
    </row>
    <row r="5" spans="1:10" x14ac:dyDescent="0.2">
      <c r="A5" s="9" t="s">
        <v>64</v>
      </c>
    </row>
    <row r="6" spans="1:10" x14ac:dyDescent="0.2">
      <c r="A6" s="1" t="s">
        <v>65</v>
      </c>
      <c r="B6" s="16">
        <v>242901</v>
      </c>
      <c r="C6" s="16">
        <v>241787</v>
      </c>
      <c r="D6" s="25"/>
    </row>
    <row r="7" spans="1:10" x14ac:dyDescent="0.2">
      <c r="A7" s="1" t="s">
        <v>66</v>
      </c>
      <c r="B7" s="24">
        <v>271082</v>
      </c>
      <c r="C7" s="24">
        <v>228035</v>
      </c>
      <c r="D7" s="25"/>
    </row>
    <row r="8" spans="1:10" x14ac:dyDescent="0.2">
      <c r="A8" s="11" t="s">
        <v>67</v>
      </c>
      <c r="B8" s="10">
        <f>B7+B6</f>
        <v>513983</v>
      </c>
      <c r="C8" s="10">
        <f>C7+C6</f>
        <v>469822</v>
      </c>
      <c r="D8" s="26"/>
    </row>
    <row r="9" spans="1:10" x14ac:dyDescent="0.2">
      <c r="A9" s="9" t="s">
        <v>68</v>
      </c>
      <c r="B9" s="10"/>
      <c r="C9" s="10"/>
      <c r="D9" s="25"/>
    </row>
    <row r="10" spans="1:10" x14ac:dyDescent="0.2">
      <c r="A10" t="s">
        <v>65</v>
      </c>
      <c r="B10" s="10">
        <v>288831</v>
      </c>
      <c r="C10" s="10">
        <v>272344</v>
      </c>
      <c r="D10" s="25"/>
    </row>
    <row r="11" spans="1:10" x14ac:dyDescent="0.2">
      <c r="A11" s="29" t="s">
        <v>69</v>
      </c>
      <c r="B11" s="30">
        <v>288831</v>
      </c>
      <c r="C11" s="30">
        <v>272344</v>
      </c>
      <c r="D11" s="25"/>
    </row>
    <row r="12" spans="1:10" x14ac:dyDescent="0.2">
      <c r="A12" s="11" t="s">
        <v>70</v>
      </c>
      <c r="B12" s="26">
        <f>B8-B11</f>
        <v>225152</v>
      </c>
      <c r="C12" s="26">
        <f>C8-C11</f>
        <v>197478</v>
      </c>
      <c r="D12" s="26"/>
    </row>
    <row r="13" spans="1:10" x14ac:dyDescent="0.2">
      <c r="A13" t="s">
        <v>71</v>
      </c>
      <c r="B13" s="26"/>
      <c r="C13" s="26"/>
      <c r="D13" s="26"/>
    </row>
    <row r="14" spans="1:10" x14ac:dyDescent="0.2">
      <c r="A14" t="s">
        <v>76</v>
      </c>
      <c r="B14" s="25">
        <v>84299</v>
      </c>
      <c r="C14" s="25">
        <v>75111</v>
      </c>
      <c r="D14" s="25"/>
    </row>
    <row r="15" spans="1:10" x14ac:dyDescent="0.2">
      <c r="A15" s="1" t="s">
        <v>72</v>
      </c>
      <c r="B15" s="27">
        <v>73213</v>
      </c>
      <c r="C15" s="27">
        <v>56052</v>
      </c>
      <c r="D15" s="25"/>
    </row>
    <row r="16" spans="1:10" x14ac:dyDescent="0.2">
      <c r="A16" s="1" t="s">
        <v>73</v>
      </c>
      <c r="B16" s="10">
        <v>42238</v>
      </c>
      <c r="C16" s="10">
        <v>32551</v>
      </c>
      <c r="D16" s="25"/>
    </row>
    <row r="17" spans="1:4" x14ac:dyDescent="0.2">
      <c r="A17" s="1" t="s">
        <v>74</v>
      </c>
      <c r="B17" s="25">
        <v>11891</v>
      </c>
      <c r="C17" s="25">
        <v>8823</v>
      </c>
      <c r="D17" s="26"/>
    </row>
    <row r="18" spans="1:4" s="11" customFormat="1" x14ac:dyDescent="0.2">
      <c r="A18" t="s">
        <v>77</v>
      </c>
      <c r="B18" s="27">
        <v>1263</v>
      </c>
      <c r="C18" s="27">
        <v>62</v>
      </c>
      <c r="D18" s="26"/>
    </row>
    <row r="19" spans="1:4" x14ac:dyDescent="0.2">
      <c r="A19" s="31" t="s">
        <v>75</v>
      </c>
      <c r="B19" s="30">
        <f>B14+B15+B16+B17+B18</f>
        <v>212904</v>
      </c>
      <c r="C19" s="30">
        <f>C14+C15+C16+C17+C18</f>
        <v>172599</v>
      </c>
      <c r="D19" s="25"/>
    </row>
    <row r="20" spans="1:4" x14ac:dyDescent="0.2">
      <c r="A20" s="18" t="s">
        <v>83</v>
      </c>
      <c r="B20" s="10">
        <v>12248</v>
      </c>
      <c r="C20" s="10">
        <v>24879</v>
      </c>
      <c r="D20" s="25"/>
    </row>
    <row r="21" spans="1:4" x14ac:dyDescent="0.2">
      <c r="A21" s="1" t="s">
        <v>78</v>
      </c>
      <c r="B21" s="10">
        <v>989</v>
      </c>
      <c r="C21" s="10">
        <v>448</v>
      </c>
      <c r="D21" s="25"/>
    </row>
    <row r="22" spans="1:4" x14ac:dyDescent="0.2">
      <c r="A22" s="1" t="s">
        <v>79</v>
      </c>
      <c r="B22" s="25">
        <v>-2367</v>
      </c>
      <c r="C22" s="25">
        <v>-1809</v>
      </c>
      <c r="D22" s="25"/>
    </row>
    <row r="23" spans="1:4" x14ac:dyDescent="0.2">
      <c r="A23" t="s">
        <v>80</v>
      </c>
      <c r="B23" s="28">
        <v>-16806</v>
      </c>
      <c r="C23" s="27">
        <v>14633</v>
      </c>
      <c r="D23" s="26"/>
    </row>
    <row r="24" spans="1:4" x14ac:dyDescent="0.2">
      <c r="A24" s="29" t="s">
        <v>82</v>
      </c>
      <c r="B24" s="32">
        <f>B21+B23+B22</f>
        <v>-18184</v>
      </c>
      <c r="C24" s="32">
        <f>C21+C23+C22</f>
        <v>13272</v>
      </c>
      <c r="D24" s="25"/>
    </row>
    <row r="25" spans="1:4" x14ac:dyDescent="0.2">
      <c r="A25" s="9" t="s">
        <v>81</v>
      </c>
      <c r="B25" s="17">
        <f>B20+B24</f>
        <v>-5936</v>
      </c>
      <c r="C25" s="17">
        <f>C20+C24</f>
        <v>38151</v>
      </c>
      <c r="D25" s="25"/>
    </row>
    <row r="26" spans="1:4" x14ac:dyDescent="0.2">
      <c r="A26" t="s">
        <v>84</v>
      </c>
      <c r="B26" s="10">
        <v>3217</v>
      </c>
      <c r="C26" s="10">
        <v>-4791</v>
      </c>
      <c r="D26" s="25"/>
    </row>
    <row r="27" spans="1:4" x14ac:dyDescent="0.2">
      <c r="A27" s="33" t="s">
        <v>85</v>
      </c>
      <c r="B27" s="10">
        <v>-3</v>
      </c>
      <c r="C27" s="10">
        <v>4</v>
      </c>
      <c r="D27" s="25"/>
    </row>
    <row r="28" spans="1:4" ht="16" thickBot="1" x14ac:dyDescent="0.25">
      <c r="A28" s="13" t="s">
        <v>86</v>
      </c>
      <c r="B28" s="14">
        <f>B25+B26+B27</f>
        <v>-2722</v>
      </c>
      <c r="C28" s="14">
        <f>C25+C26+C27</f>
        <v>33364</v>
      </c>
      <c r="D28" s="26"/>
    </row>
    <row r="29" spans="1:4" ht="16" thickTop="1" x14ac:dyDescent="0.2">
      <c r="A29" t="s">
        <v>149</v>
      </c>
    </row>
    <row r="30" spans="1:4" x14ac:dyDescent="0.2">
      <c r="A30" s="1" t="s">
        <v>150</v>
      </c>
      <c r="B30" s="47">
        <v>-0.27</v>
      </c>
      <c r="C30" s="15">
        <v>3.3</v>
      </c>
      <c r="D30" s="15"/>
    </row>
    <row r="31" spans="1:4" x14ac:dyDescent="0.2">
      <c r="A31" s="1" t="s">
        <v>151</v>
      </c>
      <c r="B31" s="47">
        <v>-0.27</v>
      </c>
      <c r="C31" s="15">
        <v>3.24</v>
      </c>
      <c r="D31" s="15"/>
    </row>
    <row r="32" spans="1:4" x14ac:dyDescent="0.2">
      <c r="A32" t="s">
        <v>152</v>
      </c>
    </row>
    <row r="33" spans="1:4" x14ac:dyDescent="0.2">
      <c r="A33" s="1" t="s">
        <v>150</v>
      </c>
      <c r="B33" s="16">
        <v>10189</v>
      </c>
      <c r="C33" s="16">
        <v>10117</v>
      </c>
      <c r="D33" s="16"/>
    </row>
    <row r="34" spans="1:4" x14ac:dyDescent="0.2">
      <c r="A34" s="1" t="s">
        <v>151</v>
      </c>
      <c r="B34" s="16">
        <v>10189</v>
      </c>
      <c r="C34" s="16">
        <v>10296</v>
      </c>
      <c r="D34" s="16"/>
    </row>
    <row r="37" spans="1:4" x14ac:dyDescent="0.2">
      <c r="A37" s="51" t="s">
        <v>12</v>
      </c>
      <c r="B37" s="51"/>
      <c r="C37" s="51"/>
      <c r="D37" s="51"/>
    </row>
    <row r="38" spans="1:4" x14ac:dyDescent="0.2">
      <c r="B38" s="50" t="s">
        <v>58</v>
      </c>
      <c r="C38" s="50"/>
      <c r="D38" s="50"/>
    </row>
    <row r="39" spans="1:4" x14ac:dyDescent="0.2">
      <c r="B39" s="9">
        <v>2022</v>
      </c>
      <c r="C39" s="9">
        <v>2021</v>
      </c>
      <c r="D39" s="9"/>
    </row>
    <row r="40" spans="1:4" x14ac:dyDescent="0.2">
      <c r="A40" s="9" t="s">
        <v>87</v>
      </c>
    </row>
    <row r="41" spans="1:4" x14ac:dyDescent="0.2">
      <c r="A41" t="s">
        <v>88</v>
      </c>
      <c r="B41" s="16"/>
    </row>
    <row r="42" spans="1:4" x14ac:dyDescent="0.2">
      <c r="A42" s="1" t="s">
        <v>89</v>
      </c>
      <c r="B42" s="16">
        <v>53888</v>
      </c>
      <c r="C42" s="10">
        <v>36220</v>
      </c>
      <c r="D42" s="10"/>
    </row>
    <row r="43" spans="1:4" x14ac:dyDescent="0.2">
      <c r="A43" s="1" t="s">
        <v>90</v>
      </c>
      <c r="B43" s="10">
        <v>16138</v>
      </c>
      <c r="C43" s="10">
        <v>59829</v>
      </c>
      <c r="D43" s="10"/>
    </row>
    <row r="44" spans="1:4" x14ac:dyDescent="0.2">
      <c r="A44" s="1" t="s">
        <v>91</v>
      </c>
      <c r="B44" s="10">
        <v>34405</v>
      </c>
      <c r="C44" s="10">
        <v>32640</v>
      </c>
      <c r="D44" s="10"/>
    </row>
    <row r="45" spans="1:4" x14ac:dyDescent="0.2">
      <c r="A45" s="34" t="s">
        <v>92</v>
      </c>
      <c r="B45" s="24">
        <v>42360</v>
      </c>
      <c r="C45" s="24">
        <v>32891</v>
      </c>
      <c r="D45" s="10"/>
    </row>
    <row r="46" spans="1:4" x14ac:dyDescent="0.2">
      <c r="A46" s="18" t="s">
        <v>93</v>
      </c>
      <c r="B46" s="17">
        <f>B42+B43+B44+B45</f>
        <v>146791</v>
      </c>
      <c r="C46" s="17">
        <f>C42+C43+C44+C45</f>
        <v>161580</v>
      </c>
      <c r="D46" s="10"/>
    </row>
    <row r="47" spans="1:4" x14ac:dyDescent="0.2">
      <c r="A47" s="1" t="s">
        <v>99</v>
      </c>
      <c r="B47" s="10"/>
      <c r="C47" s="10"/>
      <c r="D47" s="10"/>
    </row>
    <row r="48" spans="1:4" x14ac:dyDescent="0.2">
      <c r="A48" s="1" t="s">
        <v>94</v>
      </c>
      <c r="B48" s="10">
        <v>186715</v>
      </c>
      <c r="C48" s="10">
        <v>160281</v>
      </c>
      <c r="D48" s="10"/>
    </row>
    <row r="49" spans="1:4" x14ac:dyDescent="0.2">
      <c r="A49" s="1" t="s">
        <v>95</v>
      </c>
      <c r="B49" s="10">
        <v>66123</v>
      </c>
      <c r="C49" s="10">
        <v>56082</v>
      </c>
      <c r="D49" s="10"/>
    </row>
    <row r="50" spans="1:4" x14ac:dyDescent="0.2">
      <c r="A50" s="1" t="s">
        <v>96</v>
      </c>
      <c r="B50" s="10">
        <v>20288</v>
      </c>
      <c r="C50" s="10">
        <v>15371</v>
      </c>
      <c r="D50" s="10"/>
    </row>
    <row r="51" spans="1:4" x14ac:dyDescent="0.2">
      <c r="A51" s="1" t="s">
        <v>97</v>
      </c>
      <c r="B51" s="10">
        <v>42758</v>
      </c>
      <c r="C51" s="10">
        <v>27235</v>
      </c>
      <c r="D51" s="10"/>
    </row>
    <row r="52" spans="1:4" x14ac:dyDescent="0.2">
      <c r="A52" s="11" t="s">
        <v>100</v>
      </c>
      <c r="B52" s="12">
        <f>B48+B49+B50+B51</f>
        <v>315884</v>
      </c>
      <c r="C52" s="12">
        <f>C48+C49+C50+C51</f>
        <v>258969</v>
      </c>
      <c r="D52" s="12"/>
    </row>
    <row r="53" spans="1:4" ht="16" thickBot="1" x14ac:dyDescent="0.25">
      <c r="A53" s="13" t="s">
        <v>98</v>
      </c>
      <c r="B53" s="14">
        <f>B46+B52</f>
        <v>462675</v>
      </c>
      <c r="C53" s="14">
        <f>C46+C52</f>
        <v>420549</v>
      </c>
      <c r="D53" s="14"/>
    </row>
    <row r="54" spans="1:4" ht="16" thickTop="1" x14ac:dyDescent="0.2">
      <c r="A54" s="9" t="s">
        <v>101</v>
      </c>
    </row>
    <row r="55" spans="1:4" x14ac:dyDescent="0.2">
      <c r="A55" s="1" t="s">
        <v>102</v>
      </c>
      <c r="B55" s="10">
        <v>79600</v>
      </c>
      <c r="C55" s="10">
        <v>78664</v>
      </c>
      <c r="D55" s="10"/>
    </row>
    <row r="56" spans="1:4" x14ac:dyDescent="0.2">
      <c r="A56" s="1" t="s">
        <v>103</v>
      </c>
      <c r="B56" s="10">
        <v>62566</v>
      </c>
      <c r="C56" s="10">
        <v>51775</v>
      </c>
      <c r="D56" s="10"/>
    </row>
    <row r="57" spans="1:4" x14ac:dyDescent="0.2">
      <c r="A57" s="1" t="s">
        <v>104</v>
      </c>
      <c r="B57" s="10">
        <v>13227</v>
      </c>
      <c r="C57" s="10">
        <v>11827</v>
      </c>
      <c r="D57" s="10"/>
    </row>
    <row r="58" spans="1:4" x14ac:dyDescent="0.2">
      <c r="A58" s="11" t="s">
        <v>105</v>
      </c>
      <c r="B58" s="12">
        <f>B55+B56+B57</f>
        <v>155393</v>
      </c>
      <c r="C58" s="12">
        <f>C55+C56+C57</f>
        <v>142266</v>
      </c>
      <c r="D58" s="12"/>
    </row>
    <row r="59" spans="1:4" x14ac:dyDescent="0.2">
      <c r="A59" s="1" t="s">
        <v>108</v>
      </c>
      <c r="B59" s="10"/>
      <c r="C59" s="10"/>
      <c r="D59" s="10"/>
    </row>
    <row r="60" spans="1:4" x14ac:dyDescent="0.2">
      <c r="A60" s="1" t="s">
        <v>148</v>
      </c>
      <c r="B60" s="10">
        <v>72968</v>
      </c>
      <c r="C60" s="10">
        <v>67651</v>
      </c>
      <c r="D60" s="10"/>
    </row>
    <row r="61" spans="1:4" x14ac:dyDescent="0.2">
      <c r="A61" s="1" t="s">
        <v>106</v>
      </c>
      <c r="B61" s="10">
        <v>67150</v>
      </c>
      <c r="C61" s="10">
        <v>48744</v>
      </c>
      <c r="D61" s="10"/>
    </row>
    <row r="62" spans="1:4" x14ac:dyDescent="0.2">
      <c r="A62" s="1" t="s">
        <v>107</v>
      </c>
      <c r="B62" s="10">
        <v>21121</v>
      </c>
      <c r="C62" s="10">
        <v>23643</v>
      </c>
      <c r="D62" s="10"/>
    </row>
    <row r="63" spans="1:4" x14ac:dyDescent="0.2">
      <c r="A63" s="11" t="s">
        <v>109</v>
      </c>
      <c r="B63" s="12">
        <f>B60+B61+B62</f>
        <v>161239</v>
      </c>
      <c r="C63" s="12">
        <f>C60+C61+C62</f>
        <v>140038</v>
      </c>
      <c r="D63" s="12"/>
    </row>
    <row r="64" spans="1:4" x14ac:dyDescent="0.2">
      <c r="A64" s="18" t="s">
        <v>110</v>
      </c>
      <c r="B64" s="17">
        <f>B58+B63</f>
        <v>316632</v>
      </c>
      <c r="C64" s="17">
        <f>C58+C63</f>
        <v>282304</v>
      </c>
      <c r="D64" s="10"/>
    </row>
    <row r="65" spans="1:4" x14ac:dyDescent="0.2">
      <c r="A65" s="1" t="s">
        <v>111</v>
      </c>
      <c r="B65" s="10"/>
      <c r="C65" s="10"/>
      <c r="D65" s="10"/>
    </row>
    <row r="66" spans="1:4" x14ac:dyDescent="0.2">
      <c r="A66" s="1" t="s">
        <v>112</v>
      </c>
      <c r="B66" s="36">
        <v>108</v>
      </c>
      <c r="C66" s="36">
        <v>106</v>
      </c>
      <c r="D66" s="10"/>
    </row>
    <row r="67" spans="1:4" x14ac:dyDescent="0.2">
      <c r="A67" s="1" t="s">
        <v>113</v>
      </c>
      <c r="B67" s="35">
        <v>-7837</v>
      </c>
      <c r="C67" s="36">
        <v>-1837</v>
      </c>
      <c r="D67" s="10"/>
    </row>
    <row r="68" spans="1:4" x14ac:dyDescent="0.2">
      <c r="A68" s="1" t="s">
        <v>115</v>
      </c>
      <c r="B68" s="36">
        <v>75066</v>
      </c>
      <c r="C68" s="36">
        <v>55437</v>
      </c>
      <c r="D68" s="10"/>
    </row>
    <row r="69" spans="1:4" x14ac:dyDescent="0.2">
      <c r="A69" s="1" t="s">
        <v>116</v>
      </c>
      <c r="B69" s="36">
        <v>-4487</v>
      </c>
      <c r="C69" s="36">
        <v>-1376</v>
      </c>
      <c r="D69" s="10"/>
    </row>
    <row r="70" spans="1:4" x14ac:dyDescent="0.2">
      <c r="A70" s="1" t="s">
        <v>117</v>
      </c>
      <c r="B70" s="36">
        <v>83193</v>
      </c>
      <c r="C70" s="36">
        <v>85915</v>
      </c>
      <c r="D70" s="10"/>
    </row>
    <row r="71" spans="1:4" x14ac:dyDescent="0.2">
      <c r="A71" s="11" t="s">
        <v>118</v>
      </c>
      <c r="B71" s="37">
        <f>B66+B67+B68+B69+B70</f>
        <v>146043</v>
      </c>
      <c r="C71" s="37">
        <f>C66+C67+C68+C69+C70</f>
        <v>138245</v>
      </c>
      <c r="D71" s="12"/>
    </row>
    <row r="72" spans="1:4" ht="16" thickBot="1" x14ac:dyDescent="0.25">
      <c r="A72" s="13" t="s">
        <v>114</v>
      </c>
      <c r="B72" s="38">
        <f>B64+B71</f>
        <v>462675</v>
      </c>
      <c r="C72" s="38">
        <f>C64+C71</f>
        <v>420549</v>
      </c>
      <c r="D72" s="14"/>
    </row>
    <row r="73" spans="1:4" ht="16" thickTop="1" x14ac:dyDescent="0.2"/>
    <row r="74" spans="1:4" x14ac:dyDescent="0.2">
      <c r="A74" s="51" t="s">
        <v>13</v>
      </c>
      <c r="B74" s="51"/>
      <c r="C74" s="51"/>
      <c r="D74" s="51"/>
    </row>
    <row r="75" spans="1:4" x14ac:dyDescent="0.2">
      <c r="B75" s="50" t="s">
        <v>57</v>
      </c>
      <c r="C75" s="50"/>
      <c r="D75" s="50"/>
    </row>
    <row r="76" spans="1:4" x14ac:dyDescent="0.2">
      <c r="B76" s="9">
        <v>2022</v>
      </c>
      <c r="C76" s="9">
        <v>2021</v>
      </c>
      <c r="D76" s="9"/>
    </row>
    <row r="77" spans="1:4" x14ac:dyDescent="0.2">
      <c r="A77" s="9" t="s">
        <v>119</v>
      </c>
      <c r="B77" s="16">
        <v>36477</v>
      </c>
      <c r="C77" s="16">
        <v>42377</v>
      </c>
    </row>
    <row r="78" spans="1:4" x14ac:dyDescent="0.2">
      <c r="A78" t="s">
        <v>120</v>
      </c>
      <c r="B78" s="39"/>
      <c r="C78" s="39"/>
      <c r="D78" s="17"/>
    </row>
    <row r="79" spans="1:4" x14ac:dyDescent="0.2">
      <c r="A79" s="18" t="s">
        <v>121</v>
      </c>
      <c r="B79" s="36">
        <v>-2722</v>
      </c>
      <c r="C79" s="36">
        <v>33364</v>
      </c>
      <c r="D79" s="10"/>
    </row>
    <row r="80" spans="1:4" x14ac:dyDescent="0.2">
      <c r="A80" s="1" t="s">
        <v>122</v>
      </c>
      <c r="B80" s="39"/>
      <c r="C80" s="39"/>
      <c r="D80" s="17"/>
    </row>
    <row r="81" spans="1:4" x14ac:dyDescent="0.2">
      <c r="A81" s="19" t="s">
        <v>123</v>
      </c>
      <c r="B81" s="36">
        <v>41921</v>
      </c>
      <c r="C81" s="36">
        <v>34433</v>
      </c>
      <c r="D81" s="10"/>
    </row>
    <row r="82" spans="1:4" x14ac:dyDescent="0.2">
      <c r="A82" s="19" t="s">
        <v>124</v>
      </c>
      <c r="B82" s="36">
        <v>19621</v>
      </c>
      <c r="C82" s="36">
        <v>12757</v>
      </c>
      <c r="D82" s="10"/>
    </row>
    <row r="83" spans="1:4" x14ac:dyDescent="0.2">
      <c r="A83" s="19" t="s">
        <v>125</v>
      </c>
      <c r="B83" s="36">
        <v>16966</v>
      </c>
      <c r="C83" s="36">
        <v>-14306</v>
      </c>
      <c r="D83" s="10"/>
    </row>
    <row r="84" spans="1:4" x14ac:dyDescent="0.2">
      <c r="A84" s="19" t="s">
        <v>126</v>
      </c>
      <c r="B84" s="36">
        <v>-8148</v>
      </c>
      <c r="C84" s="36">
        <v>-310</v>
      </c>
      <c r="D84" s="10"/>
    </row>
    <row r="85" spans="1:4" x14ac:dyDescent="0.2">
      <c r="A85" s="19"/>
      <c r="B85" s="36"/>
      <c r="C85" s="36"/>
      <c r="D85" s="10"/>
    </row>
    <row r="86" spans="1:4" x14ac:dyDescent="0.2">
      <c r="A86" s="19" t="s">
        <v>127</v>
      </c>
      <c r="B86" s="36"/>
      <c r="C86" s="36"/>
      <c r="D86" s="10"/>
    </row>
    <row r="87" spans="1:4" x14ac:dyDescent="0.2">
      <c r="A87" s="1" t="s">
        <v>91</v>
      </c>
      <c r="B87" s="36">
        <v>-2592</v>
      </c>
      <c r="C87" s="36">
        <v>-9487</v>
      </c>
      <c r="D87" s="10"/>
    </row>
    <row r="88" spans="1:4" x14ac:dyDescent="0.2">
      <c r="A88" s="1" t="s">
        <v>92</v>
      </c>
      <c r="B88" s="36">
        <v>-21897</v>
      </c>
      <c r="C88" s="36">
        <v>-18163</v>
      </c>
      <c r="D88" s="10"/>
    </row>
    <row r="89" spans="1:4" x14ac:dyDescent="0.2">
      <c r="A89" s="1" t="s">
        <v>102</v>
      </c>
      <c r="B89" s="36">
        <v>2945</v>
      </c>
      <c r="C89" s="36">
        <v>3602</v>
      </c>
      <c r="D89" s="10"/>
    </row>
    <row r="90" spans="1:4" x14ac:dyDescent="0.2">
      <c r="A90" s="1" t="s">
        <v>103</v>
      </c>
      <c r="B90" s="36">
        <v>-1558</v>
      </c>
      <c r="C90" s="36">
        <v>2123</v>
      </c>
      <c r="D90" s="10"/>
    </row>
    <row r="91" spans="1:4" x14ac:dyDescent="0.2">
      <c r="A91" s="34" t="s">
        <v>104</v>
      </c>
      <c r="B91" s="40">
        <v>2216</v>
      </c>
      <c r="C91" s="40">
        <v>2314</v>
      </c>
      <c r="D91" s="10"/>
    </row>
    <row r="92" spans="1:4" x14ac:dyDescent="0.2">
      <c r="A92" s="1" t="s">
        <v>128</v>
      </c>
      <c r="B92" s="36">
        <f>B79+B81+B82+B83+B84+B87+B88+B89+B90+B91</f>
        <v>46752</v>
      </c>
      <c r="C92" s="36">
        <f>C79+C81+C82+C83+C84+C87+C88+C89+C90+C91</f>
        <v>46327</v>
      </c>
      <c r="D92" s="10"/>
    </row>
    <row r="93" spans="1:4" x14ac:dyDescent="0.2">
      <c r="A93" s="11" t="s">
        <v>129</v>
      </c>
      <c r="B93" s="37"/>
      <c r="C93" s="37"/>
      <c r="D93" s="12"/>
    </row>
    <row r="94" spans="1:4" x14ac:dyDescent="0.2">
      <c r="A94" s="9" t="s">
        <v>130</v>
      </c>
      <c r="B94" s="36">
        <v>-63645</v>
      </c>
      <c r="C94" s="36">
        <v>-61053</v>
      </c>
      <c r="D94" s="10"/>
    </row>
    <row r="95" spans="1:4" x14ac:dyDescent="0.2">
      <c r="A95" s="1" t="s">
        <v>131</v>
      </c>
      <c r="B95" s="36">
        <v>5324</v>
      </c>
      <c r="C95" s="36">
        <v>5657</v>
      </c>
      <c r="D95" s="10"/>
    </row>
    <row r="96" spans="1:4" x14ac:dyDescent="0.2">
      <c r="A96" s="1" t="s">
        <v>132</v>
      </c>
      <c r="B96" s="36">
        <v>-8316</v>
      </c>
      <c r="C96" s="36">
        <v>-1985</v>
      </c>
      <c r="D96" s="10"/>
    </row>
    <row r="97" spans="1:4" x14ac:dyDescent="0.2">
      <c r="A97" s="1" t="s">
        <v>133</v>
      </c>
      <c r="B97" s="36">
        <v>31601</v>
      </c>
      <c r="C97" s="36">
        <v>59384</v>
      </c>
      <c r="D97" s="10"/>
    </row>
    <row r="98" spans="1:4" x14ac:dyDescent="0.2">
      <c r="A98" s="1" t="s">
        <v>134</v>
      </c>
      <c r="B98" s="36">
        <v>-2565</v>
      </c>
      <c r="C98" s="36">
        <v>-60157</v>
      </c>
      <c r="D98" s="10"/>
    </row>
    <row r="99" spans="1:4" x14ac:dyDescent="0.2">
      <c r="A99" s="43" t="s">
        <v>135</v>
      </c>
      <c r="B99" s="41">
        <f>B94+B95+B96+B97+B98</f>
        <v>-37601</v>
      </c>
      <c r="C99" s="41">
        <f>C94+C95+C96+C97+C98</f>
        <v>-58154</v>
      </c>
      <c r="D99" s="10"/>
    </row>
    <row r="100" spans="1:4" x14ac:dyDescent="0.2">
      <c r="A100" s="18" t="s">
        <v>136</v>
      </c>
      <c r="B100" s="42"/>
      <c r="C100" s="42"/>
      <c r="D100" s="10"/>
    </row>
    <row r="101" spans="1:4" x14ac:dyDescent="0.2">
      <c r="A101" s="1" t="s">
        <v>137</v>
      </c>
      <c r="B101" s="42">
        <v>-6000</v>
      </c>
      <c r="C101" s="42"/>
      <c r="D101" s="10"/>
    </row>
    <row r="102" spans="1:4" x14ac:dyDescent="0.2">
      <c r="A102" s="1" t="s">
        <v>138</v>
      </c>
      <c r="B102" s="36">
        <v>41553</v>
      </c>
      <c r="C102" s="36">
        <v>7956</v>
      </c>
      <c r="D102" s="10"/>
    </row>
    <row r="103" spans="1:4" x14ac:dyDescent="0.2">
      <c r="A103" s="1" t="s">
        <v>139</v>
      </c>
      <c r="B103" s="36">
        <v>-37554</v>
      </c>
      <c r="C103" s="36">
        <v>-7753</v>
      </c>
      <c r="D103" s="10"/>
    </row>
    <row r="104" spans="1:4" x14ac:dyDescent="0.2">
      <c r="A104" s="1" t="s">
        <v>140</v>
      </c>
      <c r="B104" s="36">
        <v>21166</v>
      </c>
      <c r="C104" s="36">
        <v>19003</v>
      </c>
      <c r="D104" s="10"/>
    </row>
    <row r="105" spans="1:4" x14ac:dyDescent="0.2">
      <c r="A105" s="1" t="s">
        <v>141</v>
      </c>
      <c r="B105" s="36">
        <v>-1258</v>
      </c>
      <c r="C105" s="36">
        <v>-1590</v>
      </c>
      <c r="D105" s="10"/>
    </row>
    <row r="106" spans="1:4" x14ac:dyDescent="0.2">
      <c r="A106" s="1" t="s">
        <v>142</v>
      </c>
      <c r="B106" s="36">
        <v>-7941</v>
      </c>
      <c r="C106" s="36">
        <v>-11163</v>
      </c>
      <c r="D106" s="10"/>
    </row>
    <row r="107" spans="1:4" x14ac:dyDescent="0.2">
      <c r="A107" s="34" t="s">
        <v>143</v>
      </c>
      <c r="B107" s="40">
        <v>-248</v>
      </c>
      <c r="C107" s="40">
        <v>-162</v>
      </c>
      <c r="D107" s="10"/>
    </row>
    <row r="108" spans="1:4" x14ac:dyDescent="0.2">
      <c r="A108" s="1" t="s">
        <v>144</v>
      </c>
      <c r="B108" s="36">
        <f>B101+B102+B103+B104+B105+B106+B107</f>
        <v>9718</v>
      </c>
      <c r="C108" s="36">
        <f>C102+C103+C104+C105+C106+C107</f>
        <v>6291</v>
      </c>
      <c r="D108" s="10"/>
    </row>
    <row r="109" spans="1:4" x14ac:dyDescent="0.2">
      <c r="A109" s="1" t="s">
        <v>145</v>
      </c>
      <c r="B109" s="36">
        <v>-1093</v>
      </c>
      <c r="C109" s="36">
        <v>-364</v>
      </c>
      <c r="D109" s="10"/>
    </row>
    <row r="110" spans="1:4" x14ac:dyDescent="0.2">
      <c r="A110" s="44" t="s">
        <v>146</v>
      </c>
      <c r="B110" s="37">
        <v>17776</v>
      </c>
      <c r="C110" s="37">
        <v>-5900</v>
      </c>
      <c r="D110" s="12"/>
    </row>
    <row r="111" spans="1:4" ht="16" thickBot="1" x14ac:dyDescent="0.25">
      <c r="A111" s="13" t="s">
        <v>147</v>
      </c>
      <c r="B111" s="38">
        <f>B77+B110</f>
        <v>54253</v>
      </c>
      <c r="C111" s="38">
        <f>C77+C110</f>
        <v>36477</v>
      </c>
      <c r="D111" s="14"/>
    </row>
    <row r="112" spans="1:4" ht="16" thickTop="1" x14ac:dyDescent="0.2">
      <c r="B112" s="10"/>
      <c r="C112" s="10"/>
      <c r="D112" s="10"/>
    </row>
    <row r="113" spans="2:4" x14ac:dyDescent="0.2">
      <c r="B113" s="10"/>
      <c r="C113" s="10"/>
      <c r="D113" s="10"/>
    </row>
    <row r="114" spans="2:4" x14ac:dyDescent="0.2">
      <c r="B114" s="10"/>
      <c r="C114" s="10"/>
      <c r="D114" s="10"/>
    </row>
    <row r="115" spans="2:4" x14ac:dyDescent="0.2">
      <c r="B115" s="10"/>
      <c r="C115" s="10"/>
      <c r="D115" s="10"/>
    </row>
  </sheetData>
  <mergeCells count="6">
    <mergeCell ref="B75:D75"/>
    <mergeCell ref="A2:D2"/>
    <mergeCell ref="B3:D3"/>
    <mergeCell ref="A37:D37"/>
    <mergeCell ref="B38:D38"/>
    <mergeCell ref="A74:D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tabSelected="1" topLeftCell="B32" zoomScale="144" workbookViewId="0">
      <selection activeCell="B37" sqref="B37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4" width="13.6640625" bestFit="1" customWidth="1"/>
    <col min="7" max="7" width="19.83203125" customWidth="1"/>
  </cols>
  <sheetData>
    <row r="1" spans="1:10" ht="60" customHeight="1" x14ac:dyDescent="0.3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50" t="s">
        <v>60</v>
      </c>
      <c r="D2" s="50"/>
      <c r="E2" s="50"/>
    </row>
    <row r="3" spans="1:10" x14ac:dyDescent="0.2">
      <c r="C3" s="9">
        <v>2022</v>
      </c>
      <c r="D3" s="9">
        <v>2021</v>
      </c>
      <c r="E3" s="9"/>
    </row>
    <row r="4" spans="1:10" ht="16" x14ac:dyDescent="0.25">
      <c r="A4" s="22">
        <v>1</v>
      </c>
      <c r="B4" s="9" t="s">
        <v>14</v>
      </c>
      <c r="C4" s="45"/>
      <c r="D4" s="45"/>
    </row>
    <row r="5" spans="1:10" ht="16" x14ac:dyDescent="0.25">
      <c r="A5" s="22">
        <f>+A4+0.1</f>
        <v>1.1000000000000001</v>
      </c>
      <c r="B5" s="1" t="s">
        <v>15</v>
      </c>
      <c r="C5" s="48">
        <f>'Financial Statements'!B46/'Financial Statements'!B58</f>
        <v>0.9446435811136924</v>
      </c>
      <c r="D5" s="48">
        <f>'Financial Statements'!C46/'Financial Statements'!C58</f>
        <v>1.1357597739445826</v>
      </c>
    </row>
    <row r="6" spans="1:10" x14ac:dyDescent="0.2">
      <c r="A6" s="22">
        <f t="shared" ref="A6:A13" si="0">+A5+0.1</f>
        <v>1.2000000000000002</v>
      </c>
      <c r="B6" s="1" t="s">
        <v>16</v>
      </c>
      <c r="C6" s="46">
        <f>('Financial Statements'!B46-'Financial Statements'!B44)/'Financial Statements'!B58</f>
        <v>0.72323721145740161</v>
      </c>
      <c r="D6" s="46">
        <f>('Financial Statements'!C46-'Financial Statements'!C44)/'Financial Statements'!C58</f>
        <v>0.90633039517523517</v>
      </c>
    </row>
    <row r="7" spans="1:10" x14ac:dyDescent="0.2">
      <c r="A7" s="22">
        <f t="shared" si="0"/>
        <v>1.3000000000000003</v>
      </c>
      <c r="B7" s="1" t="s">
        <v>17</v>
      </c>
      <c r="C7" s="46">
        <f>'Financial Statements'!B111/'Financial Statements'!B58</f>
        <v>0.34913413088105644</v>
      </c>
      <c r="D7" s="46">
        <f>'Financial Statements'!C111/'Financial Statements'!C58</f>
        <v>0.25639998313019274</v>
      </c>
    </row>
    <row r="8" spans="1:10" x14ac:dyDescent="0.2">
      <c r="A8" s="22">
        <f t="shared" si="0"/>
        <v>1.4000000000000004</v>
      </c>
      <c r="B8" s="1" t="s">
        <v>18</v>
      </c>
      <c r="C8" s="46">
        <f>'Financial Statements'!B19/'Financial Statements'!B58</f>
        <v>1.3701003262695231</v>
      </c>
      <c r="D8" s="46">
        <f>'Financial Statements'!C19/'Financial Statements'!C58</f>
        <v>1.2132132765383155</v>
      </c>
    </row>
    <row r="9" spans="1:10" x14ac:dyDescent="0.2">
      <c r="A9" s="22">
        <f t="shared" si="0"/>
        <v>1.5000000000000004</v>
      </c>
      <c r="B9" s="1" t="s">
        <v>19</v>
      </c>
      <c r="C9" s="46">
        <f>('Financial Statements'!B44/'Financial Statements'!B11)*365</f>
        <v>43.4781065744328</v>
      </c>
      <c r="D9" s="46">
        <f>('Financial Statements'!C44/'Financial Statements'!C11)*365</f>
        <v>43.744675851129458</v>
      </c>
    </row>
    <row r="10" spans="1:10" x14ac:dyDescent="0.2">
      <c r="A10" s="22">
        <f t="shared" si="0"/>
        <v>1.6000000000000005</v>
      </c>
      <c r="B10" s="1" t="s">
        <v>20</v>
      </c>
      <c r="C10" s="46">
        <f>('Financial Statements'!B89/'Financial Statements'!B8)*365</f>
        <v>2.0913629439105961</v>
      </c>
      <c r="D10" s="46">
        <f>('Financial Statements'!C89/'Financial Statements'!C8)*365</f>
        <v>2.7983576758857609</v>
      </c>
    </row>
    <row r="11" spans="1:10" x14ac:dyDescent="0.2">
      <c r="A11" s="22">
        <f t="shared" si="0"/>
        <v>1.7000000000000006</v>
      </c>
      <c r="B11" s="1" t="s">
        <v>21</v>
      </c>
      <c r="C11" s="46">
        <f>('Financial Statements'!B45/'Financial Statements'!B8)*365</f>
        <v>30.081539661817608</v>
      </c>
      <c r="D11" s="46">
        <f>('Financial Statements'!C45/'Financial Statements'!C8)*365</f>
        <v>25.552688039299991</v>
      </c>
    </row>
    <row r="12" spans="1:10" x14ac:dyDescent="0.2">
      <c r="A12" s="22">
        <f t="shared" si="0"/>
        <v>1.8000000000000007</v>
      </c>
      <c r="B12" s="1" t="s">
        <v>22</v>
      </c>
      <c r="C12" s="46">
        <f>C9+C11-C10</f>
        <v>71.468283292339819</v>
      </c>
      <c r="D12" s="46">
        <f>D9+D11-D10</f>
        <v>66.499006214543698</v>
      </c>
    </row>
    <row r="13" spans="1:10" x14ac:dyDescent="0.2">
      <c r="A13" s="22">
        <f t="shared" si="0"/>
        <v>1.9000000000000008</v>
      </c>
      <c r="B13" s="1" t="s">
        <v>23</v>
      </c>
      <c r="C13" s="46">
        <f>('Financial Statements'!B46-'Financial Statements'!B58)/'Financial Statements'!B8</f>
        <v>-1.6735962084349094E-2</v>
      </c>
      <c r="D13" s="46">
        <f>('Financial Statements'!C46-'Financial Statements'!C58)/'Financial Statements'!C8</f>
        <v>4.1109186032156859E-2</v>
      </c>
    </row>
    <row r="14" spans="1:10" x14ac:dyDescent="0.2">
      <c r="A14" s="22"/>
      <c r="B14" s="19" t="s">
        <v>24</v>
      </c>
      <c r="C14" s="46">
        <f>'Financial Statements'!B46-'Financial Statements'!B58</f>
        <v>-8602</v>
      </c>
      <c r="D14" s="46">
        <f>'Financial Statements'!C46-'Financial Statements'!C58</f>
        <v>19314</v>
      </c>
    </row>
    <row r="15" spans="1:10" x14ac:dyDescent="0.2">
      <c r="A15" s="22"/>
      <c r="C15" s="46"/>
      <c r="D15" s="46"/>
    </row>
    <row r="16" spans="1:10" x14ac:dyDescent="0.2">
      <c r="A16" s="22">
        <f>+A4+1</f>
        <v>2</v>
      </c>
      <c r="B16" s="23" t="s">
        <v>25</v>
      </c>
      <c r="C16" s="46"/>
      <c r="D16" s="46"/>
    </row>
    <row r="17" spans="1:4" x14ac:dyDescent="0.2">
      <c r="A17" s="22">
        <f>+A16+0.1</f>
        <v>2.1</v>
      </c>
      <c r="B17" s="1" t="s">
        <v>11</v>
      </c>
      <c r="C17" s="46">
        <f>'Financial Statements'!B12</f>
        <v>225152</v>
      </c>
      <c r="D17" s="46">
        <f>'Financial Statements'!C12</f>
        <v>197478</v>
      </c>
    </row>
    <row r="18" spans="1:4" x14ac:dyDescent="0.2">
      <c r="A18" s="22">
        <f>+A17+0.1</f>
        <v>2.2000000000000002</v>
      </c>
      <c r="B18" s="1" t="s">
        <v>26</v>
      </c>
      <c r="C18" s="46">
        <f>'Financial Statements'!B20/'Financial Statements'!B8</f>
        <v>2.3829581912242232E-2</v>
      </c>
      <c r="D18" s="46">
        <f>'Financial Statements'!C20/'Financial Statements'!C8</f>
        <v>5.2954097509269465E-2</v>
      </c>
    </row>
    <row r="19" spans="1:4" x14ac:dyDescent="0.2">
      <c r="A19" s="22"/>
      <c r="B19" s="19" t="s">
        <v>27</v>
      </c>
      <c r="C19" s="46">
        <f>'Financial Statements'!B20+'Financial Statements'!B81</f>
        <v>54169</v>
      </c>
      <c r="D19" s="46">
        <f>'Financial Statements'!C20+'Financial Statements'!C81</f>
        <v>59312</v>
      </c>
    </row>
    <row r="20" spans="1:4" x14ac:dyDescent="0.2">
      <c r="A20" s="22">
        <f>+A18+0.1</f>
        <v>2.3000000000000003</v>
      </c>
      <c r="B20" s="1" t="s">
        <v>28</v>
      </c>
      <c r="C20" s="46">
        <f>C21/'Financial Statements'!B8</f>
        <v>2.3829581912242232E-2</v>
      </c>
      <c r="D20" s="46">
        <f>D21/'Financial Statements'!C8</f>
        <v>5.2954097509269465E-2</v>
      </c>
    </row>
    <row r="21" spans="1:4" x14ac:dyDescent="0.2">
      <c r="A21" s="22"/>
      <c r="B21" s="19" t="s">
        <v>29</v>
      </c>
      <c r="C21" s="46">
        <f>'Financial Statements'!B20</f>
        <v>12248</v>
      </c>
      <c r="D21" s="46">
        <f>'Financial Statements'!C20</f>
        <v>24879</v>
      </c>
    </row>
    <row r="22" spans="1:4" x14ac:dyDescent="0.2">
      <c r="A22" s="22">
        <f>+A20+0.1</f>
        <v>2.4000000000000004</v>
      </c>
      <c r="B22" s="1" t="s">
        <v>30</v>
      </c>
      <c r="C22" s="46">
        <f>'Financial Statements'!B79-'Financial Statements'!B8</f>
        <v>-516705</v>
      </c>
      <c r="D22" s="46">
        <f>'Financial Statements'!C79-'Financial Statements'!C8</f>
        <v>-436458</v>
      </c>
    </row>
    <row r="23" spans="1:4" x14ac:dyDescent="0.2">
      <c r="A23" s="22"/>
      <c r="C23" s="46"/>
      <c r="D23" s="46"/>
    </row>
    <row r="24" spans="1:4" x14ac:dyDescent="0.2">
      <c r="A24" s="22">
        <f>+A16+1</f>
        <v>3</v>
      </c>
      <c r="B24" s="9" t="s">
        <v>31</v>
      </c>
      <c r="C24" s="46"/>
      <c r="D24" s="46"/>
    </row>
    <row r="25" spans="1:4" x14ac:dyDescent="0.2">
      <c r="A25" s="22">
        <f>+A24+0.1</f>
        <v>3.1</v>
      </c>
      <c r="B25" s="1" t="s">
        <v>32</v>
      </c>
      <c r="C25" s="46">
        <f>'Financial Statements'!B64/'Financial Statements'!B71</f>
        <v>2.1680737864875415</v>
      </c>
      <c r="D25" s="46">
        <f>'Financial Statements'!C64/'Financial Statements'!C71</f>
        <v>2.0420557705522802</v>
      </c>
    </row>
    <row r="26" spans="1:4" x14ac:dyDescent="0.2">
      <c r="A26" s="22">
        <f t="shared" ref="A26:A30" si="1">+A25+0.1</f>
        <v>3.2</v>
      </c>
      <c r="B26" s="1" t="s">
        <v>33</v>
      </c>
      <c r="C26" s="46">
        <f>('Financial Statements'!B60+'Financial Statements'!B61+'Financial Statements'!B62)/'Financial Statements'!B53</f>
        <v>0.34849300264764682</v>
      </c>
      <c r="D26" s="46">
        <f>('Financial Statements'!C60+'Financial Statements'!C61+'Financial Statements'!C62)/'Financial Statements'!C53</f>
        <v>0.33298854592449395</v>
      </c>
    </row>
    <row r="27" spans="1:4" x14ac:dyDescent="0.2">
      <c r="A27" s="22">
        <f t="shared" si="1"/>
        <v>3.3000000000000003</v>
      </c>
      <c r="B27" s="1" t="s">
        <v>34</v>
      </c>
      <c r="C27" s="46">
        <f>'Financial Statements'!B61/('Financial Statements'!B61+'Financial Statements'!B71)</f>
        <v>0.31497281805687805</v>
      </c>
      <c r="D27" s="46">
        <f>'Financial Statements'!C61/('Financial Statements'!C61+'Financial Statements'!C71)</f>
        <v>0.26067843562990334</v>
      </c>
    </row>
    <row r="28" spans="1:4" x14ac:dyDescent="0.2">
      <c r="A28" s="22">
        <f t="shared" si="1"/>
        <v>3.4000000000000004</v>
      </c>
      <c r="B28" s="1" t="s">
        <v>35</v>
      </c>
      <c r="C28" s="46">
        <f>'Financial Statements'!B19/'Financial Statements'!B26</f>
        <v>66.18091389493317</v>
      </c>
      <c r="D28" s="46">
        <f>'Financial Statements'!C19/'Financial Statements'!C26</f>
        <v>-36.025673137132124</v>
      </c>
    </row>
    <row r="29" spans="1:4" x14ac:dyDescent="0.2">
      <c r="A29" s="22">
        <f t="shared" si="1"/>
        <v>3.5000000000000004</v>
      </c>
      <c r="B29" s="1" t="s">
        <v>36</v>
      </c>
      <c r="C29" s="46">
        <f>'Financial Statements'!B20/('Financial Statements'!B106+'Financial Statements'!B108)</f>
        <v>6.8925154755205407</v>
      </c>
      <c r="D29" s="46">
        <f>'Financial Statements'!C20/('Financial Statements'!C106+'Financial Statements'!C108)</f>
        <v>-5.1065270935960587</v>
      </c>
    </row>
    <row r="30" spans="1:4" x14ac:dyDescent="0.2">
      <c r="A30" s="22">
        <f t="shared" si="1"/>
        <v>3.6000000000000005</v>
      </c>
      <c r="B30" s="1" t="s">
        <v>37</v>
      </c>
      <c r="C30" s="46">
        <f>C31/('Financial Statements'!B33+'Financial Statements'!B34)</f>
        <v>0.3119049955834724</v>
      </c>
      <c r="D30" s="46">
        <f>D31/('Financial Statements'!C33+'Financial Statements'!C34)</f>
        <v>-0.19903982756086808</v>
      </c>
    </row>
    <row r="31" spans="1:4" x14ac:dyDescent="0.2">
      <c r="A31" s="22"/>
      <c r="B31" s="19" t="s">
        <v>38</v>
      </c>
      <c r="C31" s="46">
        <f>'Financial Statements'!B80+'Financial Statements'!B82-'Financial Statements'!B95-('Financial Statements'!B47-'Financial Statements'!B59)+'Financial Statements'!B106</f>
        <v>6356</v>
      </c>
      <c r="D31" s="46">
        <f>'Financial Statements'!C80+'Financial Statements'!C82-'Financial Statements'!C95-('Financial Statements'!C47-'Financial Statements'!C59)+'Financial Statements'!C106</f>
        <v>-4063</v>
      </c>
    </row>
    <row r="32" spans="1:4" x14ac:dyDescent="0.2">
      <c r="A32" s="22"/>
      <c r="C32" s="46"/>
      <c r="D32" s="46"/>
    </row>
    <row r="33" spans="1:8" x14ac:dyDescent="0.2">
      <c r="A33" s="22">
        <f>+A24+1</f>
        <v>4</v>
      </c>
      <c r="B33" s="23" t="s">
        <v>39</v>
      </c>
      <c r="C33" s="46"/>
      <c r="D33" s="46"/>
    </row>
    <row r="34" spans="1:8" x14ac:dyDescent="0.2">
      <c r="A34" s="22">
        <f>+A33+0.1</f>
        <v>4.0999999999999996</v>
      </c>
      <c r="B34" s="1" t="s">
        <v>40</v>
      </c>
      <c r="C34" s="46">
        <f>'Financial Statements'!B8/'Financial Statements'!B53</f>
        <v>1.1108942562273734</v>
      </c>
      <c r="D34" s="46">
        <f>'Financial Statements'!C8/'Financial Statements'!C53</f>
        <v>1.1171635172120253</v>
      </c>
    </row>
    <row r="35" spans="1:8" x14ac:dyDescent="0.2">
      <c r="A35" s="22">
        <f t="shared" ref="A35:A37" si="2">+A34+0.1</f>
        <v>4.1999999999999993</v>
      </c>
      <c r="B35" s="1" t="s">
        <v>41</v>
      </c>
      <c r="C35" s="46">
        <f>'Financial Statements'!B8/'Financial Statements'!B48</f>
        <v>2.7527675869640897</v>
      </c>
      <c r="D35" s="46">
        <f>'Financial Statements'!C8/'Financial Statements'!C48</f>
        <v>2.9312395106094922</v>
      </c>
    </row>
    <row r="36" spans="1:8" x14ac:dyDescent="0.2">
      <c r="A36" s="22">
        <f t="shared" si="2"/>
        <v>4.2999999999999989</v>
      </c>
      <c r="B36" s="1" t="s">
        <v>42</v>
      </c>
      <c r="C36" s="46">
        <f>'Financial Statements'!B11/'Financial Statements'!B44</f>
        <v>8.3950297921813686</v>
      </c>
      <c r="D36" s="46">
        <f>'Financial Statements'!C11/'Financial Statements'!C44</f>
        <v>8.3438725490196077</v>
      </c>
    </row>
    <row r="37" spans="1:8" x14ac:dyDescent="0.2">
      <c r="A37" s="22">
        <f t="shared" si="2"/>
        <v>4.3999999999999986</v>
      </c>
      <c r="B37" s="1" t="s">
        <v>43</v>
      </c>
      <c r="C37" s="46">
        <f>'Financial Statements'!B8/'Financial Statements'!B53</f>
        <v>1.1108942562273734</v>
      </c>
      <c r="D37" s="46">
        <f>'Financial Statements'!C8/'Financial Statements'!C53</f>
        <v>1.1171635172120253</v>
      </c>
    </row>
    <row r="38" spans="1:8" x14ac:dyDescent="0.2">
      <c r="A38" s="22"/>
      <c r="C38" s="46"/>
      <c r="D38" s="46"/>
    </row>
    <row r="39" spans="1:8" x14ac:dyDescent="0.2">
      <c r="A39" s="22">
        <f>+A33+1</f>
        <v>5</v>
      </c>
      <c r="B39" s="23" t="s">
        <v>44</v>
      </c>
      <c r="C39" s="46"/>
      <c r="D39" s="46"/>
    </row>
    <row r="40" spans="1:8" x14ac:dyDescent="0.2">
      <c r="A40" s="22">
        <f>+A39+0.1</f>
        <v>5.0999999999999996</v>
      </c>
      <c r="B40" s="1" t="s">
        <v>45</v>
      </c>
      <c r="C40" s="46">
        <f>'Financial Statements'!B28/'Financial Statements'!B33</f>
        <v>-0.2671508489547551</v>
      </c>
      <c r="D40" s="46">
        <f>'Financial Statements'!C28/'Financial Statements'!C33</f>
        <v>3.2978155579717305</v>
      </c>
    </row>
    <row r="41" spans="1:8" x14ac:dyDescent="0.2">
      <c r="A41" s="22">
        <f t="shared" ref="A41:A44" si="3">+A40+0.1</f>
        <v>5.1999999999999993</v>
      </c>
      <c r="B41" s="19" t="s">
        <v>46</v>
      </c>
      <c r="C41" s="46">
        <v>-0.27</v>
      </c>
      <c r="D41" s="46">
        <v>3.3</v>
      </c>
    </row>
    <row r="42" spans="1:8" ht="18" x14ac:dyDescent="0.2">
      <c r="A42" s="22">
        <f t="shared" si="3"/>
        <v>5.2999999999999989</v>
      </c>
      <c r="B42" s="1" t="s">
        <v>47</v>
      </c>
      <c r="C42" s="46">
        <f>856.9/C43</f>
        <v>59.783448025581507</v>
      </c>
      <c r="D42" s="46">
        <f>1691/D43</f>
        <v>123.75020434735434</v>
      </c>
      <c r="F42">
        <v>2021</v>
      </c>
      <c r="H42" s="49">
        <v>1691</v>
      </c>
    </row>
    <row r="43" spans="1:8" ht="18" x14ac:dyDescent="0.2">
      <c r="A43" s="22">
        <f t="shared" si="3"/>
        <v>5.3999999999999986</v>
      </c>
      <c r="B43" s="19" t="s">
        <v>48</v>
      </c>
      <c r="C43" s="46">
        <f>'Financial Statements'!B71/'Financial Statements'!B33</f>
        <v>14.333398763372264</v>
      </c>
      <c r="D43" s="46">
        <f>'Financial Statements'!C71/'Financial Statements'!C33</f>
        <v>13.66462390036572</v>
      </c>
      <c r="F43">
        <v>2022</v>
      </c>
      <c r="G43" t="s">
        <v>153</v>
      </c>
      <c r="H43" s="52">
        <v>856.9</v>
      </c>
    </row>
    <row r="44" spans="1:8" x14ac:dyDescent="0.2">
      <c r="A44" s="22">
        <f t="shared" si="3"/>
        <v>5.4999999999999982</v>
      </c>
      <c r="B44" s="1" t="s">
        <v>49</v>
      </c>
      <c r="C44" s="46">
        <f>('Financial Statements'!B66/'Financial Statements'!B28)*100</f>
        <v>-3.9676708302718593</v>
      </c>
      <c r="D44" s="46">
        <f>('Financial Statements'!C66/'Financial Statements'!C28)*100</f>
        <v>0.31770770890780481</v>
      </c>
    </row>
    <row r="45" spans="1:8" x14ac:dyDescent="0.2">
      <c r="A45" s="22"/>
      <c r="B45" s="19" t="s">
        <v>50</v>
      </c>
      <c r="C45" s="46">
        <f>'Financial Statements'!B101/'Financial Statements'!B33</f>
        <v>-0.58887035037785851</v>
      </c>
      <c r="D45" s="46">
        <f>'Financial Statements'!C101/'Financial Statements'!C33</f>
        <v>0</v>
      </c>
    </row>
    <row r="46" spans="1:8" x14ac:dyDescent="0.2">
      <c r="A46" s="22">
        <f>+A44+0.1</f>
        <v>5.5999999999999979</v>
      </c>
      <c r="B46" s="1" t="s">
        <v>51</v>
      </c>
      <c r="C46" s="46">
        <f>(C45/856.9)*100</f>
        <v>-6.8721011830768883E-2</v>
      </c>
      <c r="D46" s="46">
        <f>(D45/856.9)*100</f>
        <v>0</v>
      </c>
    </row>
    <row r="47" spans="1:8" x14ac:dyDescent="0.2">
      <c r="A47" s="22">
        <f t="shared" ref="A47:A50" si="4">+A45+0.1</f>
        <v>0.1</v>
      </c>
      <c r="B47" s="1" t="s">
        <v>52</v>
      </c>
      <c r="C47" s="46">
        <f>('Financial Statements'!B28/'Financial Statements'!B71)*100</f>
        <v>-1.8638346240490815</v>
      </c>
      <c r="D47" s="46">
        <f>('Financial Statements'!C28/'Financial Statements'!C71)*100</f>
        <v>24.13396506202756</v>
      </c>
    </row>
    <row r="48" spans="1:8" x14ac:dyDescent="0.2">
      <c r="A48" s="22">
        <f t="shared" si="4"/>
        <v>5.6999999999999975</v>
      </c>
      <c r="B48" s="1" t="s">
        <v>53</v>
      </c>
      <c r="C48" s="46">
        <f>'Financial Statements'!B20/('Financial Statements'!B53+'Financial Statements'!B64)*100</f>
        <v>1.5716527632884087</v>
      </c>
      <c r="D48" s="46">
        <f>'Financial Statements'!C20/('Financial Statements'!C53+'Financial Statements'!C64)*100</f>
        <v>3.5397159861308127</v>
      </c>
    </row>
    <row r="49" spans="1:4" x14ac:dyDescent="0.2">
      <c r="A49" s="22">
        <f t="shared" si="4"/>
        <v>0.2</v>
      </c>
      <c r="B49" s="1" t="s">
        <v>43</v>
      </c>
      <c r="C49" s="46">
        <f>'Financial Statements'!B8/'Financial Statements'!B53</f>
        <v>1.1108942562273734</v>
      </c>
      <c r="D49" s="46">
        <f>'Financial Statements'!C8/'Financial Statements'!C53</f>
        <v>1.1171635172120253</v>
      </c>
    </row>
    <row r="50" spans="1:4" x14ac:dyDescent="0.2">
      <c r="A50" s="22">
        <f t="shared" si="4"/>
        <v>5.7999999999999972</v>
      </c>
      <c r="B50" s="1" t="s">
        <v>54</v>
      </c>
      <c r="C50" s="46">
        <f>C51/C19</f>
        <v>161.66890841625283</v>
      </c>
      <c r="D50" s="46">
        <f>D51/D19</f>
        <v>288.84876584839492</v>
      </c>
    </row>
    <row r="51" spans="1:4" x14ac:dyDescent="0.2">
      <c r="A51" s="22"/>
      <c r="B51" s="19" t="s">
        <v>55</v>
      </c>
      <c r="C51" s="46">
        <f>(H43*'Financial Statements'!B33)+('Financial Statements'!B57+'Financial Statements'!B61)-'Financial Statements'!B42</f>
        <v>8757443.0999999996</v>
      </c>
      <c r="D51" s="46">
        <f>(H42*'Financial Statements'!C33)+('Financial Statements'!C57+'Financial Statements'!C61)-'Financial Statements'!C42</f>
        <v>17132198</v>
      </c>
    </row>
    <row r="52" spans="1:4" x14ac:dyDescent="0.2">
      <c r="C52" s="46"/>
      <c r="D52" s="46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Phadungyot, Parnward (Student)</cp:lastModifiedBy>
  <dcterms:created xsi:type="dcterms:W3CDTF">2020-05-19T16:15:53Z</dcterms:created>
  <dcterms:modified xsi:type="dcterms:W3CDTF">2025-01-31T18:02:55Z</dcterms:modified>
</cp:coreProperties>
</file>