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h\Desktop\Files\Quill Partners Mentorship program\"/>
    </mc:Choice>
  </mc:AlternateContent>
  <xr:revisionPtr revIDLastSave="0" documentId="13_ncr:1_{A4B8A29D-60B4-4C59-BCC4-985EFEF16F8E}" xr6:coauthVersionLast="47" xr6:coauthVersionMax="47" xr10:uidLastSave="{00000000-0000-0000-0000-000000000000}"/>
  <bookViews>
    <workbookView xWindow="-25710" yWindow="-110" windowWidth="25820" windowHeight="1550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5" i="3" l="1"/>
  <c r="E75" i="3"/>
  <c r="C75" i="3"/>
  <c r="D78" i="3"/>
  <c r="E78" i="3"/>
  <c r="C78" i="3"/>
  <c r="D77" i="3"/>
  <c r="E77" i="3"/>
  <c r="C77" i="3"/>
  <c r="D76" i="3"/>
  <c r="E76" i="3"/>
  <c r="C76" i="3"/>
  <c r="D72" i="3"/>
  <c r="E72" i="3"/>
  <c r="C72" i="3"/>
  <c r="D71" i="3"/>
  <c r="E71" i="3"/>
  <c r="C71" i="3"/>
  <c r="D70" i="3"/>
  <c r="E70" i="3"/>
  <c r="C70" i="3"/>
  <c r="D69" i="3"/>
  <c r="E69" i="3"/>
  <c r="C69" i="3"/>
  <c r="D68" i="3"/>
  <c r="E68" i="3"/>
  <c r="C68" i="3"/>
  <c r="D67" i="3"/>
  <c r="E67" i="3"/>
  <c r="C67" i="3"/>
  <c r="D66" i="3"/>
  <c r="E66" i="3"/>
  <c r="C66" i="3"/>
  <c r="D63" i="3"/>
  <c r="E63" i="3"/>
  <c r="C63" i="3"/>
  <c r="D62" i="3"/>
  <c r="E62" i="3"/>
  <c r="C62" i="3"/>
  <c r="D61" i="3"/>
  <c r="E61" i="3"/>
  <c r="C61" i="3"/>
  <c r="D60" i="3"/>
  <c r="E60" i="3"/>
  <c r="C60" i="3"/>
  <c r="D59" i="3"/>
  <c r="E59" i="3"/>
  <c r="C59" i="3"/>
  <c r="D58" i="3"/>
  <c r="E58" i="3"/>
  <c r="C58" i="3"/>
  <c r="D57" i="3"/>
  <c r="E57" i="3"/>
  <c r="C57" i="3"/>
  <c r="E56" i="3"/>
  <c r="E55" i="3"/>
  <c r="D55" i="3"/>
  <c r="C55" i="3"/>
  <c r="D56" i="3"/>
  <c r="C56" i="3"/>
  <c r="D54" i="3"/>
  <c r="E54" i="3"/>
  <c r="C54" i="3"/>
  <c r="D51" i="3"/>
  <c r="E51" i="3"/>
  <c r="C51" i="3"/>
  <c r="D49" i="3"/>
  <c r="E49" i="3"/>
  <c r="C49" i="3"/>
  <c r="D47" i="3"/>
  <c r="E47" i="3"/>
  <c r="C47" i="3"/>
  <c r="D46" i="3"/>
  <c r="E46" i="3"/>
  <c r="C46" i="3"/>
  <c r="D45" i="3"/>
  <c r="E45" i="3"/>
  <c r="C45" i="3"/>
  <c r="B117" i="1"/>
  <c r="C117" i="1"/>
  <c r="D117" i="1"/>
  <c r="D43" i="3"/>
  <c r="E43" i="3"/>
  <c r="C43" i="3"/>
  <c r="D42" i="3"/>
  <c r="E42" i="3"/>
  <c r="C42" i="3"/>
  <c r="D41" i="3"/>
  <c r="E41" i="3"/>
  <c r="E44" i="3" s="1"/>
  <c r="C41" i="3"/>
  <c r="D40" i="3"/>
  <c r="E40" i="3"/>
  <c r="C40" i="3"/>
  <c r="D37" i="3"/>
  <c r="E37" i="3"/>
  <c r="C37" i="3"/>
  <c r="D36" i="3"/>
  <c r="E36" i="3"/>
  <c r="C36" i="3"/>
  <c r="E35" i="3"/>
  <c r="D35" i="3"/>
  <c r="C35" i="3"/>
  <c r="D34" i="3"/>
  <c r="E34" i="3"/>
  <c r="C34" i="3"/>
  <c r="D31" i="3"/>
  <c r="D30" i="3" s="1"/>
  <c r="E31" i="3"/>
  <c r="E30" i="3" s="1"/>
  <c r="C31" i="3"/>
  <c r="C30" i="3" s="1"/>
  <c r="D29" i="3"/>
  <c r="E29" i="3"/>
  <c r="C29" i="3"/>
  <c r="D27" i="3"/>
  <c r="E27" i="3"/>
  <c r="C27" i="3"/>
  <c r="D26" i="3"/>
  <c r="E26" i="3"/>
  <c r="C26" i="3"/>
  <c r="E25" i="3"/>
  <c r="D25" i="3"/>
  <c r="C25" i="3"/>
  <c r="D22" i="3"/>
  <c r="E22" i="3"/>
  <c r="C22" i="3"/>
  <c r="D21" i="3"/>
  <c r="D20" i="3" s="1"/>
  <c r="E21" i="3"/>
  <c r="E20" i="3" s="1"/>
  <c r="C21" i="3"/>
  <c r="C48" i="3" s="1"/>
  <c r="E19" i="3"/>
  <c r="E18" i="3" s="1"/>
  <c r="D19" i="3"/>
  <c r="D18" i="3" s="1"/>
  <c r="C19" i="3"/>
  <c r="C18" i="3" s="1"/>
  <c r="D17" i="3"/>
  <c r="E17" i="3"/>
  <c r="C17" i="3"/>
  <c r="D14" i="3"/>
  <c r="D13" i="3" s="1"/>
  <c r="E14" i="3"/>
  <c r="E13" i="3" s="1"/>
  <c r="C14" i="3"/>
  <c r="C13" i="3" s="1"/>
  <c r="D12" i="3"/>
  <c r="E12" i="3"/>
  <c r="C12" i="3"/>
  <c r="D11" i="3"/>
  <c r="E11" i="3"/>
  <c r="C11" i="3"/>
  <c r="D10" i="3"/>
  <c r="E10" i="3"/>
  <c r="C10" i="3"/>
  <c r="D9" i="3"/>
  <c r="E9" i="3"/>
  <c r="C9" i="3"/>
  <c r="D8" i="3"/>
  <c r="E8" i="3"/>
  <c r="C8" i="3"/>
  <c r="D7" i="3"/>
  <c r="E7" i="3"/>
  <c r="C7" i="3"/>
  <c r="D6" i="3"/>
  <c r="E6" i="3"/>
  <c r="C6" i="3"/>
  <c r="E5" i="3"/>
  <c r="D5" i="3"/>
  <c r="C5" i="3"/>
  <c r="D108" i="1"/>
  <c r="C108" i="1"/>
  <c r="B108" i="1"/>
  <c r="D99" i="1"/>
  <c r="C99" i="1"/>
  <c r="B99" i="1"/>
  <c r="D50" i="3" l="1"/>
  <c r="C44" i="3"/>
  <c r="C50" i="3"/>
  <c r="D44" i="3"/>
  <c r="E28" i="3"/>
  <c r="E48" i="3"/>
  <c r="E50" i="3"/>
  <c r="D28" i="3"/>
  <c r="C28" i="3"/>
  <c r="C20" i="3"/>
  <c r="D48" i="3"/>
  <c r="D68" i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B8" i="1"/>
  <c r="B13" i="1" s="1"/>
  <c r="E3" i="3"/>
  <c r="D3" i="3"/>
  <c r="C3" i="3"/>
  <c r="D33" i="1"/>
  <c r="D73" i="1" s="1"/>
  <c r="C33" i="1"/>
  <c r="C73" i="1" s="1"/>
  <c r="B33" i="1"/>
  <c r="B73" i="1" s="1"/>
  <c r="B18" i="1" l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4" i="3" s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<sst xmlns="http://schemas.openxmlformats.org/spreadsheetml/2006/main" count="198" uniqueCount="171">
  <si>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</si>
  <si>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</si>
  <si>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</si>
  <si>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</si>
  <si>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</si>
  <si>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</si>
  <si>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</si>
  <si>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</si>
  <si>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</si>
  <si>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</si>
  <si>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</si>
  <si>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</si>
  <si>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</si>
  <si>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</si>
  <si>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</si>
  <si>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</si>
  <si>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</si>
  <si>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</si>
  <si>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</si>
  <si>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</si>
  <si>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</si>
  <si>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</si>
  <si>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</si>
  <si>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</si>
  <si>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</si>
  <si>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</si>
  <si>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</si>
  <si>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</si>
  <si>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</si>
  <si>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</si>
  <si>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</si>
  <si>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</si>
  <si>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</si>
  <si>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</si>
  <si>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</si>
  <si>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</si>
  <si>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</si>
  <si>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</si>
  <si>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</si>
  <si>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</si>
  <si>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</si>
  <si>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</si>
  <si>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</si>
  <si>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</si>
  <si>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</si>
  <si>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</si>
  <si>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</si>
  <si>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</si>
  <si>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</si>
  <si>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</si>
  <si>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</si>
  <si>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</si>
  <si>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</si>
  <si>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</si>
  <si>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</si>
  <si>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</si>
  <si>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</si>
  <si>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</si>
  <si>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</si>
  <si>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</si>
  <si>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</si>
  <si>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</si>
  <si>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</si>
  <si>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</si>
  <si>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</si>
  <si>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</si>
  <si>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</si>
  <si>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</si>
  <si>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</si>
  <si>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</si>
  <si>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</si>
  <si>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</si>
  <si>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</si>
  <si>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</si>
  <si>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</si>
  <si>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</si>
  <si>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</si>
  <si>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</si>
  <si>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</si>
  <si>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</si>
  <si>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</si>
  <si>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</si>
  <si>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</si>
  <si>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</si>
  <si>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</si>
  <si>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</si>
  <si>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</si>
  <si>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</si>
  <si>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</si>
  <si>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</si>
  <si>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</si>
  <si>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</si>
  <si>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</si>
  <si>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</si>
  <si>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</si>
  <si>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</si>
  <si>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</si>
  <si>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</si>
  <si>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</si>
  <si>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</si>
  <si>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</si>
  <si>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</si>
  <si>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</si>
  <si>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</si>
  <si>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</si>
  <si>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</si>
  <si>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</si>
  <si>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</si>
  <si>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</si>
  <si>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</si>
  <si>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</si>
  <si>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</si>
  <si>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</si>
  <si>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</si>
  <si>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</si>
  <si>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</si>
  <si>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</si>
  <si>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</si>
  <si>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</si>
  <si>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</si>
  <si>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</si>
  <si>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</si>
  <si>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</si>
  <si>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</si>
  <si>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</si>
  <si>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</si>
  <si>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</si>
  <si>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</si>
  <si>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</si>
  <si>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</si>
  <si>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</si>
  <si>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</si>
  <si>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</si>
  <si>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</si>
  <si>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</si>
  <si>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</si>
  <si>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</si>
  <si>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</si>
  <si>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</si>
  <si>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</si>
  <si>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</si>
  <si>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</si>
  <si>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</si>
  <si>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</si>
  <si>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</si>
  <si>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</si>
  <si>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</si>
  <si>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</si>
  <si>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</si>
  <si>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Share Price</t>
  </si>
  <si>
    <t>Total Dividend</t>
  </si>
  <si>
    <t>Growth Rates</t>
  </si>
  <si>
    <t>Net sales growth rate</t>
  </si>
  <si>
    <t>Products growth rate</t>
  </si>
  <si>
    <t>Services growth rate</t>
  </si>
  <si>
    <t>Gross profit growth rate</t>
  </si>
  <si>
    <t>Operating expense growth rate</t>
  </si>
  <si>
    <t>Research and development growth rate</t>
  </si>
  <si>
    <t>Asset growth rate</t>
  </si>
  <si>
    <t>Liability growth rate</t>
  </si>
  <si>
    <t>Shareholder equity growth rate</t>
  </si>
  <si>
    <t>Selling, general and administrative growth rate</t>
  </si>
  <si>
    <t xml:space="preserve"> margins as a % of net sales</t>
  </si>
  <si>
    <t>COGS (Cost of goods sold) as a % of net sales</t>
  </si>
  <si>
    <t>Gross profits as a % of net sales</t>
  </si>
  <si>
    <t>Operating income as a % of net sales</t>
  </si>
  <si>
    <t>Net profit as a % of net sales</t>
  </si>
  <si>
    <t>operating expenses as a % of net sales</t>
  </si>
  <si>
    <t>Research and development as a % of net sales</t>
  </si>
  <si>
    <t>Selling, general and administrative as a % of net sales</t>
  </si>
  <si>
    <t>Capex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</si>
</sst>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/>
    <xf numFmtId="2" fontId="0" fillId="0" borderId="0" xfId="0" applyNumberForma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22" sqref="A22:A24"/>
    </sheetView>
  </sheetViews>
  <sheetFormatPr defaultRowHeight="15" x14ac:dyDescent="0.25"/>
  <cols>
    <col min="1" max="1" width="104.5703125" customWidth="1"/>
  </cols>
  <sheetData>
    <row r="1" spans="1:1" ht="23.25" x14ac:dyDescent="0.35">
      <c r="A1" s="5" t="s">
        <v>86</v>
      </c>
    </row>
    <row r="3" spans="1:1" x14ac:dyDescent="0.25">
      <c r="A3" s="7" t="s">
        <v>140</v>
      </c>
    </row>
    <row r="4" spans="1:1" x14ac:dyDescent="0.25">
      <c r="A4" s="16" t="s">
        <v>87</v>
      </c>
    </row>
    <row r="5" spans="1:1" x14ac:dyDescent="0.25">
      <c r="A5" s="7" t="s">
        <v>96</v>
      </c>
    </row>
    <row r="6" spans="1:1" x14ac:dyDescent="0.25">
      <c r="A6" s="1" t="s">
        <v>147</v>
      </c>
    </row>
    <row r="7" spans="1:1" x14ac:dyDescent="0.25">
      <c r="A7" s="1"/>
    </row>
    <row r="8" spans="1:1" x14ac:dyDescent="0.25">
      <c r="A8" s="17" t="s">
        <v>148</v>
      </c>
    </row>
    <row r="9" spans="1:1" x14ac:dyDescent="0.25">
      <c r="A9" s="1" t="s">
        <v>144</v>
      </c>
    </row>
    <row r="10" spans="1:1" x14ac:dyDescent="0.25">
      <c r="A10" s="1" t="s">
        <v>88</v>
      </c>
    </row>
    <row r="11" spans="1:1" x14ac:dyDescent="0.25">
      <c r="A11" s="1" t="s">
        <v>89</v>
      </c>
    </row>
    <row r="12" spans="1:1" x14ac:dyDescent="0.25">
      <c r="A12" s="1" t="s">
        <v>90</v>
      </c>
    </row>
    <row r="13" spans="1:1" x14ac:dyDescent="0.25">
      <c r="A13" s="1"/>
    </row>
    <row r="14" spans="1:1" x14ac:dyDescent="0.25">
      <c r="A14" s="17" t="s">
        <v>91</v>
      </c>
    </row>
    <row r="15" spans="1:1" x14ac:dyDescent="0.25">
      <c r="A15" s="1" t="s">
        <v>145</v>
      </c>
    </row>
    <row r="16" spans="1:1" x14ac:dyDescent="0.25">
      <c r="A16" s="1" t="s">
        <v>88</v>
      </c>
    </row>
    <row r="17" spans="1:1" x14ac:dyDescent="0.25">
      <c r="A17" s="1" t="s">
        <v>89</v>
      </c>
    </row>
    <row r="18" spans="1:1" x14ac:dyDescent="0.25">
      <c r="A18" s="1" t="s">
        <v>13</v>
      </c>
    </row>
    <row r="19" spans="1:1" x14ac:dyDescent="0.25">
      <c r="A19" s="1" t="s">
        <v>92</v>
      </c>
    </row>
    <row r="20" spans="1:1" x14ac:dyDescent="0.25">
      <c r="A20" s="1"/>
    </row>
    <row r="21" spans="1:1" x14ac:dyDescent="0.25">
      <c r="A21" s="17" t="s">
        <v>97</v>
      </c>
    </row>
    <row r="22" spans="1:1" x14ac:dyDescent="0.25">
      <c r="A22" s="1" t="s">
        <v>93</v>
      </c>
    </row>
    <row r="23" spans="1:1" x14ac:dyDescent="0.25">
      <c r="A23" s="1" t="s">
        <v>94</v>
      </c>
    </row>
    <row r="24" spans="1:1" x14ac:dyDescent="0.25">
      <c r="A24" s="1" t="s">
        <v>95</v>
      </c>
    </row>
    <row r="25" spans="1:1" x14ac:dyDescent="0.25">
      <c r="A25" s="1"/>
    </row>
    <row r="26" spans="1:1" x14ac:dyDescent="0.25">
      <c r="A26" s="17" t="s">
        <v>143</v>
      </c>
    </row>
    <row r="27" spans="1:1" x14ac:dyDescent="0.25">
      <c r="A27" s="16" t="s">
        <v>142</v>
      </c>
    </row>
    <row r="29" spans="1:1" x14ac:dyDescent="0.25">
      <c r="A29" s="7" t="s">
        <v>146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7"/>
  <sheetViews>
    <sheetView workbookViewId="0">
      <selection activeCell="A79" sqref="A79"/>
    </sheetView>
  </sheetViews>
  <sheetFormatPr defaultRowHeight="15" x14ac:dyDescent="0.25"/>
  <cols>
    <col min="1" max="1" width="59" customWidth="1"/>
    <col min="2" max="3" width="11.5703125" bestFit="1" customWidth="1"/>
    <col min="4" max="4" width="11.7109375" bestFit="1" customWidth="1"/>
  </cols>
  <sheetData>
    <row r="1" spans="1:10" ht="60" customHeight="1" x14ac:dyDescent="0.2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5">
      <c r="A2" s="25" t="s">
        <v>1</v>
      </c>
      <c r="B2" s="25"/>
      <c r="C2" s="25"/>
      <c r="D2" s="25"/>
    </row>
    <row r="3" spans="1:10" x14ac:dyDescent="0.25">
      <c r="B3" s="24" t="s">
        <v>22</v>
      </c>
      <c r="C3" s="24"/>
      <c r="D3" s="24"/>
    </row>
    <row r="4" spans="1:10" x14ac:dyDescent="0.25">
      <c r="B4" s="7">
        <v>2022</v>
      </c>
      <c r="C4" s="7">
        <v>2021</v>
      </c>
      <c r="D4" s="7">
        <v>2020</v>
      </c>
      <c r="E4" s="7">
        <v>2019</v>
      </c>
    </row>
    <row r="5" spans="1:10" x14ac:dyDescent="0.25">
      <c r="A5" t="s">
        <v>3</v>
      </c>
    </row>
    <row r="6" spans="1:10" x14ac:dyDescent="0.25">
      <c r="A6" s="1" t="s">
        <v>4</v>
      </c>
      <c r="B6" s="12">
        <v>316199</v>
      </c>
      <c r="C6" s="12">
        <v>297392</v>
      </c>
      <c r="D6" s="12">
        <v>220747</v>
      </c>
      <c r="E6" s="2">
        <v>213883</v>
      </c>
    </row>
    <row r="7" spans="1:10" x14ac:dyDescent="0.25">
      <c r="A7" s="1" t="s">
        <v>5</v>
      </c>
      <c r="B7" s="12">
        <v>78129</v>
      </c>
      <c r="C7" s="12">
        <v>68425</v>
      </c>
      <c r="D7" s="12">
        <v>53768</v>
      </c>
      <c r="E7" s="2">
        <v>46291</v>
      </c>
    </row>
    <row r="8" spans="1:10" x14ac:dyDescent="0.25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  <c r="E8" s="2">
        <v>260174</v>
      </c>
    </row>
    <row r="9" spans="1:10" x14ac:dyDescent="0.25">
      <c r="A9" t="s">
        <v>0</v>
      </c>
      <c r="B9" s="12"/>
      <c r="C9" s="12"/>
      <c r="D9" s="12"/>
    </row>
    <row r="10" spans="1:10" x14ac:dyDescent="0.2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5">
      <c r="A12" s="8" t="s">
        <v>7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5">
      <c r="A13" s="8" t="s">
        <v>8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  <c r="E13" s="2">
        <v>98392</v>
      </c>
    </row>
    <row r="14" spans="1:10" x14ac:dyDescent="0.25">
      <c r="A14" t="s">
        <v>9</v>
      </c>
      <c r="B14" s="12"/>
      <c r="C14" s="12"/>
      <c r="D14" s="12"/>
    </row>
    <row r="15" spans="1:10" x14ac:dyDescent="0.25">
      <c r="A15" s="1" t="s">
        <v>10</v>
      </c>
      <c r="B15" s="12">
        <v>26251</v>
      </c>
      <c r="C15" s="12">
        <v>21914</v>
      </c>
      <c r="D15" s="12">
        <v>18752</v>
      </c>
      <c r="E15" s="2">
        <v>16217</v>
      </c>
    </row>
    <row r="16" spans="1:10" x14ac:dyDescent="0.25">
      <c r="A16" s="1" t="s">
        <v>11</v>
      </c>
      <c r="B16" s="12">
        <v>25094</v>
      </c>
      <c r="C16" s="12">
        <v>21973</v>
      </c>
      <c r="D16" s="12">
        <v>19916</v>
      </c>
      <c r="E16" s="2">
        <v>18245</v>
      </c>
    </row>
    <row r="17" spans="1:5" x14ac:dyDescent="0.25">
      <c r="A17" s="8" t="s">
        <v>12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  <c r="E17" s="2">
        <v>34462</v>
      </c>
    </row>
    <row r="18" spans="1:5" s="7" customFormat="1" x14ac:dyDescent="0.25">
      <c r="A18" s="8" t="s">
        <v>13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5" x14ac:dyDescent="0.25">
      <c r="A19" t="s">
        <v>14</v>
      </c>
      <c r="B19" s="12">
        <v>-334</v>
      </c>
      <c r="C19" s="12">
        <v>258</v>
      </c>
      <c r="D19" s="12">
        <v>803</v>
      </c>
    </row>
    <row r="20" spans="1:5" x14ac:dyDescent="0.25">
      <c r="A20" s="8" t="s">
        <v>15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5" x14ac:dyDescent="0.25">
      <c r="A21" t="s">
        <v>16</v>
      </c>
      <c r="B21" s="12">
        <v>19300</v>
      </c>
      <c r="C21" s="12">
        <v>14527</v>
      </c>
      <c r="D21" s="12">
        <v>9680</v>
      </c>
    </row>
    <row r="22" spans="1:5" ht="15.75" thickBot="1" x14ac:dyDescent="0.3">
      <c r="A22" s="9" t="s">
        <v>17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5" ht="15.75" thickTop="1" x14ac:dyDescent="0.25">
      <c r="A23" t="s">
        <v>18</v>
      </c>
    </row>
    <row r="24" spans="1:5" x14ac:dyDescent="0.25">
      <c r="A24" s="1" t="s">
        <v>19</v>
      </c>
      <c r="B24" s="10">
        <v>6.15</v>
      </c>
      <c r="C24" s="10">
        <v>5.67</v>
      </c>
      <c r="D24" s="10">
        <v>3.31</v>
      </c>
    </row>
    <row r="25" spans="1:5" x14ac:dyDescent="0.25">
      <c r="A25" s="1" t="s">
        <v>20</v>
      </c>
      <c r="B25" s="10">
        <v>6.11</v>
      </c>
      <c r="C25" s="10">
        <v>5.61</v>
      </c>
      <c r="D25" s="10">
        <v>3.28</v>
      </c>
    </row>
    <row r="26" spans="1:5" x14ac:dyDescent="0.25">
      <c r="A26" t="s">
        <v>21</v>
      </c>
    </row>
    <row r="27" spans="1:5" x14ac:dyDescent="0.25">
      <c r="A27" s="1" t="s">
        <v>19</v>
      </c>
      <c r="B27" s="2">
        <v>16215963</v>
      </c>
      <c r="C27" s="2">
        <v>16701272</v>
      </c>
      <c r="D27" s="2">
        <v>17352119</v>
      </c>
    </row>
    <row r="28" spans="1:5" x14ac:dyDescent="0.25">
      <c r="A28" s="1" t="s">
        <v>20</v>
      </c>
      <c r="B28" s="2">
        <v>16325819</v>
      </c>
      <c r="C28" s="2">
        <v>16864919</v>
      </c>
      <c r="D28" s="2">
        <v>17528214</v>
      </c>
    </row>
    <row r="31" spans="1:5" x14ac:dyDescent="0.25">
      <c r="A31" s="25" t="s">
        <v>23</v>
      </c>
      <c r="B31" s="25"/>
      <c r="C31" s="25"/>
      <c r="D31" s="25"/>
    </row>
    <row r="32" spans="1:5" x14ac:dyDescent="0.25">
      <c r="B32" s="24" t="s">
        <v>141</v>
      </c>
      <c r="C32" s="24"/>
      <c r="D32" s="24"/>
    </row>
    <row r="33" spans="1:5" x14ac:dyDescent="0.25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5" x14ac:dyDescent="0.25">
      <c r="A35" t="s">
        <v>24</v>
      </c>
    </row>
    <row r="36" spans="1:5" x14ac:dyDescent="0.25">
      <c r="A36" s="1" t="s">
        <v>25</v>
      </c>
      <c r="B36" s="12">
        <v>23646</v>
      </c>
      <c r="C36" s="12">
        <v>34940</v>
      </c>
      <c r="D36" s="12">
        <v>38016</v>
      </c>
    </row>
    <row r="37" spans="1:5" x14ac:dyDescent="0.25">
      <c r="A37" s="1" t="s">
        <v>26</v>
      </c>
      <c r="B37" s="12">
        <v>24658</v>
      </c>
      <c r="C37" s="12">
        <v>27699</v>
      </c>
      <c r="D37" s="12">
        <v>52927</v>
      </c>
    </row>
    <row r="38" spans="1:5" x14ac:dyDescent="0.25">
      <c r="A38" s="1" t="s">
        <v>27</v>
      </c>
      <c r="B38" s="12">
        <v>28184</v>
      </c>
      <c r="C38" s="12">
        <v>26278</v>
      </c>
      <c r="D38" s="12">
        <v>16120</v>
      </c>
    </row>
    <row r="39" spans="1:5" x14ac:dyDescent="0.25">
      <c r="A39" s="1" t="s">
        <v>28</v>
      </c>
      <c r="B39" s="12">
        <v>4946</v>
      </c>
      <c r="C39" s="12">
        <v>6580</v>
      </c>
      <c r="D39" s="12">
        <v>4061</v>
      </c>
    </row>
    <row r="40" spans="1:5" x14ac:dyDescent="0.25">
      <c r="A40" s="1" t="s">
        <v>46</v>
      </c>
      <c r="B40" s="12">
        <v>32748</v>
      </c>
      <c r="C40" s="12">
        <v>25228</v>
      </c>
      <c r="D40" s="12">
        <v>21325</v>
      </c>
    </row>
    <row r="41" spans="1:5" x14ac:dyDescent="0.25">
      <c r="A41" s="1" t="s">
        <v>29</v>
      </c>
      <c r="B41" s="12">
        <v>21223</v>
      </c>
      <c r="C41" s="12">
        <v>14111</v>
      </c>
      <c r="D41" s="12">
        <v>11264</v>
      </c>
    </row>
    <row r="42" spans="1:5" x14ac:dyDescent="0.25">
      <c r="A42" s="8" t="s">
        <v>30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5" x14ac:dyDescent="0.25">
      <c r="A43" t="s">
        <v>47</v>
      </c>
      <c r="B43" s="12"/>
      <c r="C43" s="12"/>
      <c r="D43" s="12"/>
    </row>
    <row r="44" spans="1:5" x14ac:dyDescent="0.25">
      <c r="A44" s="1" t="s">
        <v>26</v>
      </c>
      <c r="B44" s="12">
        <v>120805</v>
      </c>
      <c r="C44" s="12">
        <v>127877</v>
      </c>
      <c r="D44" s="12">
        <v>100887</v>
      </c>
    </row>
    <row r="45" spans="1:5" x14ac:dyDescent="0.25">
      <c r="A45" s="1" t="s">
        <v>31</v>
      </c>
      <c r="B45" s="12">
        <v>42117</v>
      </c>
      <c r="C45" s="12">
        <v>39440</v>
      </c>
      <c r="D45" s="12">
        <v>36766</v>
      </c>
      <c r="E45" s="2">
        <v>37378</v>
      </c>
    </row>
    <row r="46" spans="1:5" x14ac:dyDescent="0.25">
      <c r="A46" s="1" t="s">
        <v>48</v>
      </c>
      <c r="B46" s="12">
        <v>54428</v>
      </c>
      <c r="C46" s="12">
        <v>48849</v>
      </c>
      <c r="D46" s="12">
        <v>42522</v>
      </c>
    </row>
    <row r="47" spans="1:5" x14ac:dyDescent="0.25">
      <c r="A47" s="8" t="s">
        <v>49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5" ht="15.75" thickBot="1" x14ac:dyDescent="0.3">
      <c r="A48" s="9" t="s">
        <v>32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  <c r="E48" s="2">
        <v>338516</v>
      </c>
    </row>
    <row r="49" spans="1:5" ht="15.75" thickTop="1" x14ac:dyDescent="0.25"/>
    <row r="50" spans="1:5" x14ac:dyDescent="0.25">
      <c r="A50" t="s">
        <v>33</v>
      </c>
    </row>
    <row r="51" spans="1:5" x14ac:dyDescent="0.25">
      <c r="A51" s="1" t="s">
        <v>34</v>
      </c>
      <c r="B51" s="12">
        <v>64115</v>
      </c>
      <c r="C51" s="12">
        <v>54763</v>
      </c>
      <c r="D51" s="12">
        <v>42296</v>
      </c>
    </row>
    <row r="52" spans="1:5" x14ac:dyDescent="0.25">
      <c r="A52" s="1" t="s">
        <v>35</v>
      </c>
      <c r="B52" s="12">
        <v>60845</v>
      </c>
      <c r="C52" s="12">
        <v>47493</v>
      </c>
      <c r="D52" s="12">
        <v>42684</v>
      </c>
    </row>
    <row r="53" spans="1:5" x14ac:dyDescent="0.25">
      <c r="A53" s="1" t="s">
        <v>36</v>
      </c>
      <c r="B53" s="12">
        <v>7912</v>
      </c>
      <c r="C53" s="12">
        <v>7612</v>
      </c>
      <c r="D53" s="12">
        <v>6643</v>
      </c>
    </row>
    <row r="54" spans="1:5" x14ac:dyDescent="0.25">
      <c r="A54" s="1" t="s">
        <v>37</v>
      </c>
      <c r="B54" s="12">
        <v>9982</v>
      </c>
      <c r="C54" s="12">
        <v>6000</v>
      </c>
      <c r="D54" s="12">
        <v>4996</v>
      </c>
    </row>
    <row r="55" spans="1:5" x14ac:dyDescent="0.25">
      <c r="A55" s="1" t="s">
        <v>38</v>
      </c>
      <c r="B55" s="12">
        <v>11128</v>
      </c>
      <c r="C55" s="12">
        <v>9613</v>
      </c>
      <c r="D55" s="12">
        <v>8773</v>
      </c>
    </row>
    <row r="56" spans="1:5" x14ac:dyDescent="0.25">
      <c r="A56" s="8" t="s">
        <v>39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5" x14ac:dyDescent="0.25">
      <c r="A57" t="s">
        <v>50</v>
      </c>
      <c r="B57" s="12"/>
      <c r="C57" s="12"/>
      <c r="D57" s="12"/>
    </row>
    <row r="58" spans="1:5" x14ac:dyDescent="0.25">
      <c r="A58" s="1" t="s">
        <v>36</v>
      </c>
      <c r="B58" s="12"/>
      <c r="C58" s="12"/>
      <c r="D58" s="12"/>
    </row>
    <row r="59" spans="1:5" x14ac:dyDescent="0.25">
      <c r="A59" s="1" t="s">
        <v>38</v>
      </c>
      <c r="B59" s="12">
        <v>98959</v>
      </c>
      <c r="C59" s="12">
        <v>109106</v>
      </c>
      <c r="D59" s="12">
        <v>98667</v>
      </c>
    </row>
    <row r="60" spans="1:5" x14ac:dyDescent="0.25">
      <c r="A60" s="1" t="s">
        <v>51</v>
      </c>
      <c r="B60" s="12">
        <v>49142</v>
      </c>
      <c r="C60" s="12">
        <v>53325</v>
      </c>
      <c r="D60" s="12">
        <v>54490</v>
      </c>
    </row>
    <row r="61" spans="1:5" x14ac:dyDescent="0.25">
      <c r="A61" s="22" t="s">
        <v>52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5" x14ac:dyDescent="0.25">
      <c r="A62" s="8" t="s">
        <v>40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  <c r="E62" s="2">
        <v>248028</v>
      </c>
    </row>
    <row r="63" spans="1:5" x14ac:dyDescent="0.25">
      <c r="B63" s="12"/>
      <c r="C63" s="12"/>
      <c r="D63" s="12"/>
    </row>
    <row r="64" spans="1:5" x14ac:dyDescent="0.25">
      <c r="A64" t="s">
        <v>41</v>
      </c>
      <c r="B64" s="12"/>
      <c r="C64" s="12"/>
      <c r="D64" s="12"/>
    </row>
    <row r="65" spans="1:5" x14ac:dyDescent="0.25">
      <c r="A65" s="1" t="s">
        <v>53</v>
      </c>
      <c r="B65" s="12">
        <v>64849</v>
      </c>
      <c r="C65" s="12">
        <v>57365</v>
      </c>
      <c r="D65" s="12">
        <v>50779</v>
      </c>
    </row>
    <row r="66" spans="1:5" x14ac:dyDescent="0.25">
      <c r="A66" s="1" t="s">
        <v>42</v>
      </c>
      <c r="B66" s="12">
        <v>-3068</v>
      </c>
      <c r="C66" s="12">
        <v>5562</v>
      </c>
      <c r="D66" s="12">
        <v>14966</v>
      </c>
    </row>
    <row r="67" spans="1:5" x14ac:dyDescent="0.25">
      <c r="A67" s="1" t="s">
        <v>43</v>
      </c>
      <c r="B67" s="12">
        <v>-11109</v>
      </c>
      <c r="C67" s="12">
        <v>163</v>
      </c>
      <c r="D67" s="12">
        <v>-406</v>
      </c>
    </row>
    <row r="68" spans="1:5" x14ac:dyDescent="0.25">
      <c r="A68" s="8" t="s">
        <v>44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  <c r="E68" s="2">
        <v>90488</v>
      </c>
    </row>
    <row r="69" spans="1:5" ht="15.75" thickBot="1" x14ac:dyDescent="0.3">
      <c r="A69" s="9" t="s">
        <v>45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5" ht="15.75" thickTop="1" x14ac:dyDescent="0.25"/>
    <row r="71" spans="1:5" x14ac:dyDescent="0.25">
      <c r="A71" s="25" t="s">
        <v>54</v>
      </c>
      <c r="B71" s="25"/>
      <c r="C71" s="25"/>
      <c r="D71" s="25"/>
    </row>
    <row r="72" spans="1:5" x14ac:dyDescent="0.25">
      <c r="B72" s="24" t="s">
        <v>22</v>
      </c>
      <c r="C72" s="24"/>
      <c r="D72" s="24"/>
    </row>
    <row r="73" spans="1:5" x14ac:dyDescent="0.25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5" x14ac:dyDescent="0.25">
      <c r="A75" s="7" t="s">
        <v>55</v>
      </c>
      <c r="B75" s="15"/>
      <c r="C75" s="15"/>
      <c r="D75" s="15"/>
    </row>
    <row r="76" spans="1:5" x14ac:dyDescent="0.25">
      <c r="A76" t="s">
        <v>56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5" x14ac:dyDescent="0.25">
      <c r="A77" s="11" t="s">
        <v>17</v>
      </c>
      <c r="B77" s="15"/>
      <c r="C77" s="15"/>
      <c r="D77" s="15"/>
    </row>
    <row r="78" spans="1:5" x14ac:dyDescent="0.25">
      <c r="A78" s="1" t="s">
        <v>57</v>
      </c>
      <c r="B78" s="12"/>
      <c r="C78" s="12"/>
      <c r="D78" s="12"/>
    </row>
    <row r="79" spans="1:5" x14ac:dyDescent="0.25">
      <c r="A79" s="3" t="s">
        <v>58</v>
      </c>
      <c r="B79" s="12">
        <v>11104</v>
      </c>
      <c r="C79" s="12">
        <v>11284</v>
      </c>
      <c r="D79" s="12">
        <v>11056</v>
      </c>
    </row>
    <row r="80" spans="1:5" x14ac:dyDescent="0.25">
      <c r="A80" s="3" t="s">
        <v>82</v>
      </c>
      <c r="B80" s="12">
        <v>9038</v>
      </c>
      <c r="C80" s="12">
        <v>7906</v>
      </c>
      <c r="D80" s="12">
        <v>6829</v>
      </c>
    </row>
    <row r="81" spans="1:4" x14ac:dyDescent="0.25">
      <c r="A81" s="3" t="s">
        <v>59</v>
      </c>
      <c r="B81" s="12">
        <v>895</v>
      </c>
      <c r="C81" s="12">
        <v>-4774</v>
      </c>
      <c r="D81" s="12">
        <v>-215</v>
      </c>
    </row>
    <row r="82" spans="1:4" x14ac:dyDescent="0.25">
      <c r="A82" s="3" t="s">
        <v>60</v>
      </c>
      <c r="B82" s="12">
        <v>111</v>
      </c>
      <c r="C82" s="12">
        <v>-147</v>
      </c>
      <c r="D82" s="12">
        <v>-97</v>
      </c>
    </row>
    <row r="83" spans="1:4" x14ac:dyDescent="0.25">
      <c r="A83" t="s">
        <v>61</v>
      </c>
      <c r="B83" s="12"/>
      <c r="C83" s="12"/>
      <c r="D83" s="12"/>
    </row>
    <row r="84" spans="1:4" x14ac:dyDescent="0.25">
      <c r="A84" s="1" t="s">
        <v>27</v>
      </c>
      <c r="B84" s="12">
        <v>-1823</v>
      </c>
      <c r="C84" s="12">
        <v>-10125</v>
      </c>
      <c r="D84" s="12">
        <v>6917</v>
      </c>
    </row>
    <row r="85" spans="1:4" x14ac:dyDescent="0.25">
      <c r="A85" s="1" t="s">
        <v>28</v>
      </c>
      <c r="B85" s="12">
        <v>1484</v>
      </c>
      <c r="C85" s="12">
        <v>-2642</v>
      </c>
      <c r="D85" s="12">
        <v>-127</v>
      </c>
    </row>
    <row r="86" spans="1:4" x14ac:dyDescent="0.25">
      <c r="A86" s="1" t="s">
        <v>46</v>
      </c>
      <c r="B86" s="12">
        <v>-7520</v>
      </c>
      <c r="C86" s="12">
        <v>-3903</v>
      </c>
      <c r="D86" s="12">
        <v>1553</v>
      </c>
    </row>
    <row r="87" spans="1:4" x14ac:dyDescent="0.25">
      <c r="A87" s="1" t="s">
        <v>83</v>
      </c>
      <c r="B87" s="12">
        <v>-6499</v>
      </c>
      <c r="C87" s="12">
        <v>-8042</v>
      </c>
      <c r="D87" s="12">
        <v>-9588</v>
      </c>
    </row>
    <row r="88" spans="1:4" x14ac:dyDescent="0.25">
      <c r="A88" s="1" t="s">
        <v>34</v>
      </c>
      <c r="B88" s="12">
        <v>9448</v>
      </c>
      <c r="C88" s="12">
        <v>12326</v>
      </c>
      <c r="D88" s="12">
        <v>-4062</v>
      </c>
    </row>
    <row r="89" spans="1:4" x14ac:dyDescent="0.25">
      <c r="A89" s="1" t="s">
        <v>36</v>
      </c>
      <c r="B89" s="12">
        <v>478</v>
      </c>
      <c r="C89" s="12">
        <v>1676</v>
      </c>
      <c r="D89" s="12">
        <v>2081</v>
      </c>
    </row>
    <row r="90" spans="1:4" x14ac:dyDescent="0.25">
      <c r="A90" s="1" t="s">
        <v>84</v>
      </c>
      <c r="B90" s="12">
        <v>5632</v>
      </c>
      <c r="C90" s="12">
        <v>5799</v>
      </c>
      <c r="D90" s="12">
        <v>8916</v>
      </c>
    </row>
    <row r="91" spans="1:4" x14ac:dyDescent="0.25">
      <c r="A91" s="8" t="s">
        <v>62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5">
      <c r="A92" s="7" t="s">
        <v>63</v>
      </c>
      <c r="B92" s="12"/>
      <c r="C92" s="12"/>
      <c r="D92" s="12"/>
    </row>
    <row r="93" spans="1:4" x14ac:dyDescent="0.25">
      <c r="A93" s="1" t="s">
        <v>64</v>
      </c>
      <c r="B93" s="12">
        <v>-76923</v>
      </c>
      <c r="C93" s="12">
        <v>-109558</v>
      </c>
      <c r="D93" s="12">
        <v>-114938</v>
      </c>
    </row>
    <row r="94" spans="1:4" x14ac:dyDescent="0.25">
      <c r="A94" s="1" t="s">
        <v>65</v>
      </c>
      <c r="B94" s="12">
        <v>29917</v>
      </c>
      <c r="C94" s="12">
        <v>59023</v>
      </c>
      <c r="D94" s="12">
        <v>69918</v>
      </c>
    </row>
    <row r="95" spans="1:4" x14ac:dyDescent="0.25">
      <c r="A95" s="1" t="s">
        <v>66</v>
      </c>
      <c r="B95" s="12">
        <v>37446</v>
      </c>
      <c r="C95" s="12">
        <v>47460</v>
      </c>
      <c r="D95" s="12">
        <v>50473</v>
      </c>
    </row>
    <row r="96" spans="1:4" x14ac:dyDescent="0.25">
      <c r="A96" s="1" t="s">
        <v>67</v>
      </c>
      <c r="B96" s="12">
        <v>-10708</v>
      </c>
      <c r="C96" s="12">
        <v>-11085</v>
      </c>
      <c r="D96" s="12">
        <v>-7309</v>
      </c>
    </row>
    <row r="97" spans="1:4" x14ac:dyDescent="0.25">
      <c r="A97" s="1" t="s">
        <v>68</v>
      </c>
      <c r="B97" s="12">
        <v>-306</v>
      </c>
      <c r="C97" s="12">
        <v>-33</v>
      </c>
      <c r="D97" s="12">
        <v>-1524</v>
      </c>
    </row>
    <row r="98" spans="1:4" x14ac:dyDescent="0.25">
      <c r="A98" s="1" t="s">
        <v>60</v>
      </c>
      <c r="B98" s="12">
        <v>-1780</v>
      </c>
      <c r="C98" s="12">
        <v>-352</v>
      </c>
      <c r="D98" s="12">
        <v>-909</v>
      </c>
    </row>
    <row r="99" spans="1:4" x14ac:dyDescent="0.25">
      <c r="A99" s="8" t="s">
        <v>69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5">
      <c r="A100" s="7" t="s">
        <v>70</v>
      </c>
      <c r="B100" s="12"/>
      <c r="C100" s="12"/>
      <c r="D100" s="12"/>
    </row>
    <row r="101" spans="1:4" x14ac:dyDescent="0.25">
      <c r="A101" s="1" t="s">
        <v>85</v>
      </c>
      <c r="B101" s="12">
        <v>-6223</v>
      </c>
      <c r="C101" s="12">
        <v>-6556</v>
      </c>
      <c r="D101" s="12">
        <v>-3634</v>
      </c>
    </row>
    <row r="102" spans="1:4" x14ac:dyDescent="0.25">
      <c r="A102" s="1" t="s">
        <v>71</v>
      </c>
      <c r="B102" s="12">
        <v>-14841</v>
      </c>
      <c r="C102" s="12">
        <v>-14467</v>
      </c>
      <c r="D102" s="12">
        <v>-14081</v>
      </c>
    </row>
    <row r="103" spans="1:4" x14ac:dyDescent="0.25">
      <c r="A103" s="1" t="s">
        <v>72</v>
      </c>
      <c r="B103" s="12">
        <v>-89402</v>
      </c>
      <c r="C103" s="12">
        <v>-85971</v>
      </c>
      <c r="D103" s="12">
        <v>-72358</v>
      </c>
    </row>
    <row r="104" spans="1:4" x14ac:dyDescent="0.25">
      <c r="A104" s="1" t="s">
        <v>73</v>
      </c>
      <c r="B104" s="12">
        <v>5465</v>
      </c>
      <c r="C104" s="12">
        <v>20393</v>
      </c>
      <c r="D104" s="12">
        <v>16091</v>
      </c>
    </row>
    <row r="105" spans="1:4" x14ac:dyDescent="0.25">
      <c r="A105" s="1" t="s">
        <v>74</v>
      </c>
      <c r="B105" s="12">
        <v>-9543</v>
      </c>
      <c r="C105" s="12">
        <v>-8750</v>
      </c>
      <c r="D105" s="12">
        <v>-12629</v>
      </c>
    </row>
    <row r="106" spans="1:4" x14ac:dyDescent="0.25">
      <c r="A106" s="1" t="s">
        <v>75</v>
      </c>
      <c r="B106" s="12">
        <v>3955</v>
      </c>
      <c r="C106" s="12">
        <v>1022</v>
      </c>
      <c r="D106" s="12">
        <v>-963</v>
      </c>
    </row>
    <row r="107" spans="1:4" x14ac:dyDescent="0.25">
      <c r="A107" s="1" t="s">
        <v>60</v>
      </c>
      <c r="B107" s="12">
        <v>-160</v>
      </c>
      <c r="C107" s="12">
        <v>976</v>
      </c>
      <c r="D107" s="12">
        <v>754</v>
      </c>
    </row>
    <row r="108" spans="1:4" x14ac:dyDescent="0.25">
      <c r="A108" s="8" t="s">
        <v>76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5">
      <c r="A109" s="8" t="s">
        <v>77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.75" thickBot="1" x14ac:dyDescent="0.3">
      <c r="A110" s="9" t="s">
        <v>78</v>
      </c>
      <c r="B110" s="14">
        <v>24977</v>
      </c>
      <c r="C110" s="14">
        <v>35929</v>
      </c>
      <c r="D110" s="14">
        <v>39789</v>
      </c>
    </row>
    <row r="111" spans="1:4" ht="15.75" thickTop="1" x14ac:dyDescent="0.25">
      <c r="B111" s="12"/>
      <c r="C111" s="12"/>
      <c r="D111" s="12"/>
    </row>
    <row r="112" spans="1:4" x14ac:dyDescent="0.25">
      <c r="A112" t="s">
        <v>79</v>
      </c>
      <c r="B112" s="12"/>
      <c r="C112" s="12"/>
      <c r="D112" s="12"/>
    </row>
    <row r="113" spans="1:4" x14ac:dyDescent="0.25">
      <c r="A113" t="s">
        <v>80</v>
      </c>
      <c r="B113" s="12">
        <v>19573</v>
      </c>
      <c r="C113" s="12">
        <v>25385</v>
      </c>
      <c r="D113" s="12">
        <v>9501</v>
      </c>
    </row>
    <row r="114" spans="1:4" x14ac:dyDescent="0.25">
      <c r="A114" t="s">
        <v>81</v>
      </c>
      <c r="B114" s="12">
        <v>2865</v>
      </c>
      <c r="C114" s="12">
        <v>2687</v>
      </c>
      <c r="D114" s="12">
        <v>3002</v>
      </c>
    </row>
    <row r="116" spans="1:4" x14ac:dyDescent="0.25">
      <c r="A116" t="s">
        <v>149</v>
      </c>
      <c r="B116">
        <v>138.19999999999999</v>
      </c>
      <c r="C116">
        <v>141.5</v>
      </c>
      <c r="D116">
        <v>115.81</v>
      </c>
    </row>
    <row r="117" spans="1:4" x14ac:dyDescent="0.25">
      <c r="A117" t="s">
        <v>150</v>
      </c>
      <c r="B117">
        <f>0.22+0.23+0.23+0.23</f>
        <v>0.91</v>
      </c>
      <c r="C117">
        <f>0.21+0.22+0.22+0.22</f>
        <v>0.87</v>
      </c>
      <c r="D117">
        <f>0.19+0.21+0.21+0.21</f>
        <v>0.82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8"/>
  <sheetViews>
    <sheetView tabSelected="1" topLeftCell="A49" workbookViewId="0">
      <selection activeCell="D75" sqref="D75"/>
    </sheetView>
  </sheetViews>
  <sheetFormatPr defaultRowHeight="15" x14ac:dyDescent="0.25"/>
  <cols>
    <col min="1" max="1" width="4.7109375" customWidth="1"/>
    <col min="2" max="2" width="50.7109375" bestFit="1" customWidth="1"/>
    <col min="3" max="5" width="13.42578125" bestFit="1" customWidth="1"/>
  </cols>
  <sheetData>
    <row r="1" spans="1:10" ht="60" customHeight="1" x14ac:dyDescent="0.4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5">
      <c r="C2" s="24" t="s">
        <v>22</v>
      </c>
      <c r="D2" s="24"/>
      <c r="E2" s="24"/>
    </row>
    <row r="3" spans="1:10" x14ac:dyDescent="0.2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5">
      <c r="A4" s="18">
        <v>1</v>
      </c>
      <c r="B4" s="7" t="s">
        <v>98</v>
      </c>
    </row>
    <row r="5" spans="1:10" x14ac:dyDescent="0.25">
      <c r="A5" s="18">
        <f>+A4+0.1</f>
        <v>1.1000000000000001</v>
      </c>
      <c r="B5" s="1" t="s">
        <v>99</v>
      </c>
      <c r="C5">
        <f>'Financial Statements'!B42/'Financial Statements'!B56</f>
        <v>0.87935602862672257</v>
      </c>
      <c r="D5">
        <f>'Financial Statements'!C42/'Financial Statements'!C56</f>
        <v>1.0745531195957954</v>
      </c>
      <c r="E5">
        <f>'Financial Statements'!D42/'Financial Statements'!D56</f>
        <v>1.3636044481554577</v>
      </c>
    </row>
    <row r="6" spans="1:10" x14ac:dyDescent="0.25">
      <c r="A6" s="18">
        <f t="shared" ref="A6:A13" si="0">+A5+0.1</f>
        <v>1.2000000000000002</v>
      </c>
      <c r="B6" s="1" t="s">
        <v>100</v>
      </c>
      <c r="C6">
        <f>('Financial Statements'!B36+'Financial Statements'!B37+'Financial Statements'!B38)/'Financial Statements'!B56</f>
        <v>0.49673338442155579</v>
      </c>
      <c r="D6">
        <f>('Financial Statements'!C36+'Financial Statements'!C37+'Financial Statements'!C38)/'Financial Statements'!C56</f>
        <v>0.70860927152317876</v>
      </c>
      <c r="E6">
        <f>('Financial Statements'!D36+'Financial Statements'!D37+'Financial Statements'!D38)/'Financial Statements'!D56</f>
        <v>1.0158550933657204</v>
      </c>
    </row>
    <row r="7" spans="1:10" x14ac:dyDescent="0.25">
      <c r="A7" s="18">
        <f t="shared" si="0"/>
        <v>1.3000000000000003</v>
      </c>
      <c r="B7" s="1" t="s">
        <v>101</v>
      </c>
      <c r="C7">
        <f>'Financial Statements'!B36/'Financial Statements'!B56</f>
        <v>0.15356340351469652</v>
      </c>
      <c r="D7">
        <f>'Financial Statements'!C36/'Financial Statements'!C56</f>
        <v>0.27844853005634318</v>
      </c>
      <c r="E7">
        <f>'Financial Statements'!D36/'Financial Statements'!D56</f>
        <v>0.36071049035979963</v>
      </c>
    </row>
    <row r="8" spans="1:10" x14ac:dyDescent="0.25">
      <c r="A8" s="18">
        <f t="shared" si="0"/>
        <v>1.4000000000000004</v>
      </c>
      <c r="B8" s="1" t="s">
        <v>102</v>
      </c>
      <c r="C8" s="23">
        <f>('Financial Statements'!B42)/(('Financial Statements'!B17-('Financial Statements'!B79+'Financial Statements'!B80+'Financial Statements'!B81+'Financial Statements'!B82))/365)</f>
        <v>1636.6799682087624</v>
      </c>
      <c r="D8" s="23">
        <f>('Financial Statements'!C42)/(('Financial Statements'!C17-('Financial Statements'!C79+'Financial Statements'!C80+'Financial Statements'!C81+'Financial Statements'!C82))/365)</f>
        <v>1661.6631777972852</v>
      </c>
      <c r="E8" s="23">
        <f>('Financial Statements'!D42)/(('Financial Statements'!D17-('Financial Statements'!D79+'Financial Statements'!D80+'Financial Statements'!D81+'Financial Statements'!D82))/365)</f>
        <v>2486.6198151220669</v>
      </c>
    </row>
    <row r="9" spans="1:10" x14ac:dyDescent="0.25">
      <c r="A9" s="18">
        <f t="shared" si="0"/>
        <v>1.5000000000000004</v>
      </c>
      <c r="B9" s="1" t="s">
        <v>103</v>
      </c>
      <c r="C9">
        <f>('Financial Statements'!B39/'Financial Statements'!B12)*365</f>
        <v>8.0756980666171607</v>
      </c>
      <c r="D9">
        <f>('Financial Statements'!C39/'Financial Statements'!C12)*365</f>
        <v>11.27659274770989</v>
      </c>
      <c r="E9">
        <f>('Financial Statements'!D39/'Financial Statements'!D12)*365</f>
        <v>8.7418833562358831</v>
      </c>
    </row>
    <row r="10" spans="1:10" x14ac:dyDescent="0.25">
      <c r="A10" s="18">
        <f t="shared" si="0"/>
        <v>1.6000000000000005</v>
      </c>
      <c r="B10" s="1" t="s">
        <v>104</v>
      </c>
      <c r="C10">
        <f>('Financial Statements'!B51*365)/('Financial Statements'!B12)</f>
        <v>104.68527730310539</v>
      </c>
      <c r="D10">
        <f>('Financial Statements'!C51*365)/('Financial Statements'!C12)</f>
        <v>93.85107122231561</v>
      </c>
      <c r="E10">
        <f>('Financial Statements'!D51*365)/('Financial Statements'!D12)</f>
        <v>91.048189715674184</v>
      </c>
    </row>
    <row r="11" spans="1:10" x14ac:dyDescent="0.25">
      <c r="A11" s="18">
        <f t="shared" si="0"/>
        <v>1.7000000000000006</v>
      </c>
      <c r="B11" s="1" t="s">
        <v>105</v>
      </c>
      <c r="C11" s="1">
        <f>('Financial Statements'!B38/'Financial Statements'!B8)*365</f>
        <v>26.087825363656648</v>
      </c>
      <c r="D11" s="1">
        <f>('Financial Statements'!C38/'Financial Statements'!C8)*365</f>
        <v>26.219311841713207</v>
      </c>
      <c r="E11" s="1">
        <f>('Financial Statements'!D38/'Financial Statements'!D8)*365</f>
        <v>21.433437152796749</v>
      </c>
    </row>
    <row r="12" spans="1:10" x14ac:dyDescent="0.25">
      <c r="A12" s="18">
        <f t="shared" si="0"/>
        <v>1.8000000000000007</v>
      </c>
      <c r="B12" s="1" t="s">
        <v>106</v>
      </c>
      <c r="C12" s="1">
        <f>(((0.5*('Financial Statements'!B39+'Financial Statements'!B85))/'Financial Statements'!B12)*365)+(('Financial Statements'!B38/'Financial Statements'!B8)*365)-(('Financial Statements'!B51/'Financial Statements'!B12))</f>
        <v>31.050383405401973</v>
      </c>
      <c r="D12" s="1">
        <f>(((0.5*('Financial Statements'!C39+'Financial Statements'!C85))/'Financial Statements'!C12)*365)+(('Financial Statements'!C38/'Financial Statements'!C8)*365)-(('Financial Statements'!C51/'Financial Statements'!C12))</f>
        <v>29.336594604025336</v>
      </c>
      <c r="E12" s="1">
        <f>(((0.5*('Financial Statements'!D39+'Financial Statements'!D85))/'Financial Statements'!D12)*365)+(('Financial Statements'!D38/'Financial Statements'!D8)*365)-(('Financial Statements'!D51/'Financial Statements'!D12))</f>
        <v>25.418238903219908</v>
      </c>
    </row>
    <row r="13" spans="1:10" x14ac:dyDescent="0.25">
      <c r="A13" s="18">
        <f t="shared" si="0"/>
        <v>1.9000000000000008</v>
      </c>
      <c r="B13" s="1" t="s">
        <v>107</v>
      </c>
      <c r="C13">
        <f>(C14/'Financial Statements'!B8)*100</f>
        <v>-4.7110527276784806</v>
      </c>
      <c r="D13">
        <f>(D14/'Financial Statements'!C8)*100</f>
        <v>2.5572895737486232</v>
      </c>
      <c r="E13">
        <f>(E14/'Financial Statements'!D8)*100</f>
        <v>13.959528623208204</v>
      </c>
    </row>
    <row r="14" spans="1:10" x14ac:dyDescent="0.25">
      <c r="A14" s="18"/>
      <c r="B14" s="3" t="s">
        <v>108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</row>
    <row r="15" spans="1:10" x14ac:dyDescent="0.25">
      <c r="A15" s="18"/>
    </row>
    <row r="16" spans="1:10" x14ac:dyDescent="0.25">
      <c r="A16" s="18">
        <f>+A4+1</f>
        <v>2</v>
      </c>
      <c r="B16" s="17" t="s">
        <v>109</v>
      </c>
    </row>
    <row r="17" spans="1:5" x14ac:dyDescent="0.25">
      <c r="A17" s="18">
        <f>+A16+0.1</f>
        <v>2.1</v>
      </c>
      <c r="B17" s="1" t="s">
        <v>8</v>
      </c>
      <c r="C17">
        <f>(('Financial Statements'!B8-'Financial Statements'!B12)/'Financial Statements'!B8)*100</f>
        <v>43.309630561360088</v>
      </c>
      <c r="D17">
        <f>(('Financial Statements'!C8-'Financial Statements'!C12)/'Financial Statements'!C8)*100</f>
        <v>41.779359625167778</v>
      </c>
      <c r="E17">
        <f>(('Financial Statements'!D8-'Financial Statements'!D12)/'Financial Statements'!D8)*100</f>
        <v>38.233247727810863</v>
      </c>
    </row>
    <row r="18" spans="1:5" x14ac:dyDescent="0.25">
      <c r="A18" s="18">
        <f>+A17+0.1</f>
        <v>2.2000000000000002</v>
      </c>
      <c r="B18" s="1" t="s">
        <v>110</v>
      </c>
      <c r="C18">
        <f>(C19/'Financial Statements'!B8)*100</f>
        <v>33.104674281308959</v>
      </c>
      <c r="D18">
        <f>(D19/'Financial Statements'!C8)*100</f>
        <v>32.86697993805646</v>
      </c>
      <c r="E18">
        <f>(E19/'Financial Statements'!D8)*100</f>
        <v>28.174780977360069</v>
      </c>
    </row>
    <row r="19" spans="1:5" x14ac:dyDescent="0.25">
      <c r="A19" s="18"/>
      <c r="B19" s="3" t="s">
        <v>111</v>
      </c>
      <c r="C19">
        <f>'Financial Statements'!B18+'Financial Statements'!B79</f>
        <v>130541</v>
      </c>
      <c r="D19">
        <f>'Financial Statements'!C18+'Financial Statements'!C79</f>
        <v>120233</v>
      </c>
      <c r="E19">
        <f>'Financial Statements'!D18+'Financial Statements'!D79</f>
        <v>77344</v>
      </c>
    </row>
    <row r="20" spans="1:5" x14ac:dyDescent="0.25">
      <c r="A20" s="18">
        <f>+A18+0.1</f>
        <v>2.3000000000000003</v>
      </c>
      <c r="B20" s="1" t="s">
        <v>112</v>
      </c>
      <c r="C20">
        <f>(C21/'Financial Statements'!B8)*100</f>
        <v>30.999827554726018</v>
      </c>
      <c r="D20">
        <f>(D21/'Financial Statements'!C8)*100</f>
        <v>33.555575602008652</v>
      </c>
      <c r="E20">
        <f>(E21/'Financial Statements'!D8)*100</f>
        <v>25.468189352130121</v>
      </c>
    </row>
    <row r="21" spans="1:5" x14ac:dyDescent="0.25">
      <c r="A21" s="18"/>
      <c r="B21" s="3" t="s">
        <v>113</v>
      </c>
      <c r="C21">
        <f>'Financial Statements'!B22+'Financial Statements'!B113+'Financial Statements'!B114</f>
        <v>122241</v>
      </c>
      <c r="D21">
        <f>'Financial Statements'!C22+'Financial Statements'!C113+'Financial Statements'!C114</f>
        <v>122752</v>
      </c>
      <c r="E21">
        <f>'Financial Statements'!D22+'Financial Statements'!D113+'Financial Statements'!D114</f>
        <v>69914</v>
      </c>
    </row>
    <row r="22" spans="1:5" x14ac:dyDescent="0.25">
      <c r="A22" s="18">
        <f>+A20+0.1</f>
        <v>2.4000000000000004</v>
      </c>
      <c r="B22" s="1" t="s">
        <v>114</v>
      </c>
      <c r="C22">
        <f>('Financial Statements'!B18/'Financial Statements'!B8)*100</f>
        <v>30.288744395528592</v>
      </c>
      <c r="D22">
        <f>('Financial Statements'!C18/'Financial Statements'!C8)*100</f>
        <v>29.782377527561593</v>
      </c>
      <c r="E22">
        <f>('Financial Statements'!D18/'Financial Statements'!D8)*100</f>
        <v>24.147314354406863</v>
      </c>
    </row>
    <row r="23" spans="1:5" x14ac:dyDescent="0.25">
      <c r="A23" s="18"/>
    </row>
    <row r="24" spans="1:5" x14ac:dyDescent="0.25">
      <c r="A24" s="18">
        <f>+A16+1</f>
        <v>3</v>
      </c>
      <c r="B24" s="7" t="s">
        <v>115</v>
      </c>
    </row>
    <row r="25" spans="1:5" x14ac:dyDescent="0.25">
      <c r="A25" s="18">
        <f>+A24+0.1</f>
        <v>3.1</v>
      </c>
      <c r="B25" s="1" t="s">
        <v>116</v>
      </c>
      <c r="C25">
        <f>'Financial Statements'!B62/'Financial Statements'!B68</f>
        <v>5.9615369434796337</v>
      </c>
      <c r="D25">
        <f>'Financial Statements'!C62/'Financial Statements'!C68</f>
        <v>4.5635124425423994</v>
      </c>
      <c r="E25">
        <f>'Financial Statements'!D62/'Financial Statements'!D68</f>
        <v>3.9570394404566951</v>
      </c>
    </row>
    <row r="26" spans="1:5" x14ac:dyDescent="0.25">
      <c r="A26" s="18">
        <f t="shared" ref="A26:A30" si="1">+A25+0.1</f>
        <v>3.2</v>
      </c>
      <c r="B26" s="1" t="s">
        <v>117</v>
      </c>
      <c r="C26">
        <f>'Financial Statements'!B62/'Financial Statements'!B48</f>
        <v>0.85635355983614692</v>
      </c>
      <c r="D26">
        <f>'Financial Statements'!C62/'Financial Statements'!C48</f>
        <v>0.82025743443057308</v>
      </c>
      <c r="E26">
        <f>'Financial Statements'!D62/'Financial Statements'!D48</f>
        <v>0.79826668477992391</v>
      </c>
    </row>
    <row r="27" spans="1:5" x14ac:dyDescent="0.25">
      <c r="A27" s="18">
        <f t="shared" si="1"/>
        <v>3.3000000000000003</v>
      </c>
      <c r="B27" s="1" t="s">
        <v>118</v>
      </c>
      <c r="C27">
        <f>'Financial Statements'!B61/('Financial Statements'!B61+'Financial Statements'!B68)</f>
        <v>0.74507604151469264</v>
      </c>
      <c r="D27">
        <f>'Financial Statements'!C61/('Financial Statements'!C61+'Financial Statements'!C68)</f>
        <v>0.72024778180302496</v>
      </c>
      <c r="E27">
        <f>'Financial Statements'!D61/('Financial Statements'!D61+'Financial Statements'!D68)</f>
        <v>0.70096020064440534</v>
      </c>
    </row>
    <row r="28" spans="1:5" x14ac:dyDescent="0.25">
      <c r="A28" s="18">
        <f t="shared" si="1"/>
        <v>3.4000000000000004</v>
      </c>
      <c r="B28" s="1" t="s">
        <v>119</v>
      </c>
      <c r="C28">
        <f>C21/'Financial Statements'!B114</f>
        <v>42.667015706806282</v>
      </c>
      <c r="D28">
        <f>D21/'Financial Statements'!C114</f>
        <v>45.683662076665428</v>
      </c>
      <c r="E28">
        <f>E21/'Financial Statements'!D114</f>
        <v>23.289140572951364</v>
      </c>
    </row>
    <row r="29" spans="1:5" x14ac:dyDescent="0.25">
      <c r="A29" s="18">
        <f t="shared" si="1"/>
        <v>3.5000000000000004</v>
      </c>
      <c r="B29" s="1" t="s">
        <v>120</v>
      </c>
      <c r="C29">
        <f>'Financial Statements'!B18/'Financial Statements'!B62</f>
        <v>0.39537809145168712</v>
      </c>
      <c r="D29">
        <f>'Financial Statements'!C18/'Financial Statements'!C62</f>
        <v>0.37841076440023341</v>
      </c>
      <c r="E29">
        <f>'Financial Statements'!D18/'Financial Statements'!D62</f>
        <v>0.25638466983047703</v>
      </c>
    </row>
    <row r="30" spans="1:5" x14ac:dyDescent="0.25">
      <c r="A30" s="18">
        <f t="shared" si="1"/>
        <v>3.6000000000000005</v>
      </c>
      <c r="B30" s="1" t="s">
        <v>121</v>
      </c>
      <c r="C30">
        <f>C31/'Financial Statements'!B27</f>
        <v>7.4030755990254788E-3</v>
      </c>
      <c r="D30">
        <f>D31/'Financial Statements'!C27</f>
        <v>6.5460882260943961E-3</v>
      </c>
      <c r="E30">
        <f>E31/'Financial Statements'!D27</f>
        <v>5.5510799574392039E-3</v>
      </c>
    </row>
    <row r="31" spans="1:5" x14ac:dyDescent="0.25">
      <c r="A31" s="18"/>
      <c r="B31" s="3" t="s">
        <v>122</v>
      </c>
      <c r="C31">
        <f>'Financial Statements'!B91-'Financial Statements'!B96+'Financial Statements'!B99-'Financial Statements'!B105</f>
        <v>120048</v>
      </c>
      <c r="D31">
        <f>'Financial Statements'!C91-'Financial Statements'!C96+'Financial Statements'!C99-'Financial Statements'!C105</f>
        <v>109328</v>
      </c>
      <c r="E31">
        <f>'Financial Statements'!D91-'Financial Statements'!D96+'Financial Statements'!D99-'Financial Statements'!D105</f>
        <v>96323</v>
      </c>
    </row>
    <row r="32" spans="1:5" x14ac:dyDescent="0.25">
      <c r="A32" s="18"/>
    </row>
    <row r="33" spans="1:5" x14ac:dyDescent="0.25">
      <c r="A33" s="18">
        <f>+A24+1</f>
        <v>4</v>
      </c>
      <c r="B33" s="17" t="s">
        <v>123</v>
      </c>
    </row>
    <row r="34" spans="1:5" x14ac:dyDescent="0.25">
      <c r="A34" s="18">
        <f>+A33+0.1</f>
        <v>4.0999999999999996</v>
      </c>
      <c r="B34" s="1" t="s">
        <v>124</v>
      </c>
      <c r="C34">
        <f>'Financial Statements'!B8/'Financial Statements'!B48</f>
        <v>1.1178523337727317</v>
      </c>
      <c r="D34">
        <f>'Financial Statements'!C8/'Financial Statements'!C48</f>
        <v>1.0422077367080529</v>
      </c>
      <c r="E34">
        <f>'Financial Statements'!D8/'Financial Statements'!D48</f>
        <v>0.84756150274168851</v>
      </c>
    </row>
    <row r="35" spans="1:5" x14ac:dyDescent="0.25">
      <c r="A35" s="18">
        <f t="shared" ref="A35:A37" si="2">+A34+0.1</f>
        <v>4.1999999999999993</v>
      </c>
      <c r="B35" s="1" t="s">
        <v>125</v>
      </c>
      <c r="C35">
        <f>'Financial Statements'!B8/'Financial Statements'!B47</f>
        <v>1.8142535081665516</v>
      </c>
      <c r="D35">
        <f>'Financial Statements'!C8/'Financial Statements'!C47</f>
        <v>1.6922966608994938</v>
      </c>
      <c r="E35">
        <f>'Financial Statements'!D8/'Financial Statements'!D47</f>
        <v>1.5236020535590398</v>
      </c>
    </row>
    <row r="36" spans="1:5" x14ac:dyDescent="0.25">
      <c r="A36" s="18">
        <f t="shared" si="2"/>
        <v>4.2999999999999989</v>
      </c>
      <c r="B36" s="1" t="s">
        <v>126</v>
      </c>
      <c r="C36">
        <f>'Financial Statements'!B12/'Financial Statements'!B39</f>
        <v>45.197331176708452</v>
      </c>
      <c r="D36">
        <f>'Financial Statements'!C12/'Financial Statements'!C39</f>
        <v>32.367933130699086</v>
      </c>
      <c r="E36">
        <f>'Financial Statements'!D12/'Financial Statements'!D39</f>
        <v>41.753016498399411</v>
      </c>
    </row>
    <row r="37" spans="1:5" x14ac:dyDescent="0.25">
      <c r="A37" s="18">
        <f t="shared" si="2"/>
        <v>4.3999999999999986</v>
      </c>
      <c r="B37" s="1" t="s">
        <v>127</v>
      </c>
      <c r="C37">
        <f>'Financial Statements'!B22/'Financial Statements'!B48</f>
        <v>0.28292440929256851</v>
      </c>
      <c r="D37">
        <f>'Financial Statements'!C22/'Financial Statements'!C48</f>
        <v>0.26974205275183616</v>
      </c>
      <c r="E37">
        <f>'Financial Statements'!D22/'Financial Statements'!D48</f>
        <v>0.1772557180259843</v>
      </c>
    </row>
    <row r="38" spans="1:5" x14ac:dyDescent="0.25">
      <c r="A38" s="18"/>
    </row>
    <row r="39" spans="1:5" x14ac:dyDescent="0.25">
      <c r="A39" s="18">
        <f>+A33+1</f>
        <v>5</v>
      </c>
      <c r="B39" s="17" t="s">
        <v>128</v>
      </c>
    </row>
    <row r="40" spans="1:5" x14ac:dyDescent="0.25">
      <c r="A40" s="18">
        <f>+A39+0.1</f>
        <v>5.0999999999999996</v>
      </c>
      <c r="B40" s="1" t="s">
        <v>129</v>
      </c>
      <c r="C40">
        <f>'Financial Statements'!B116/'Financial Statements'!B24</f>
        <v>22.471544715447152</v>
      </c>
      <c r="D40">
        <f>'Financial Statements'!C116/'Financial Statements'!C24</f>
        <v>24.955908289241624</v>
      </c>
      <c r="E40">
        <f>'Financial Statements'!D116/'Financial Statements'!D24</f>
        <v>34.987915407854985</v>
      </c>
    </row>
    <row r="41" spans="1:5" x14ac:dyDescent="0.25">
      <c r="A41" s="18">
        <f t="shared" ref="A41:A44" si="3">+A40+0.1</f>
        <v>5.1999999999999993</v>
      </c>
      <c r="B41" s="3" t="s">
        <v>130</v>
      </c>
      <c r="C41">
        <f>'Financial Statements'!B24</f>
        <v>6.15</v>
      </c>
      <c r="D41">
        <f>'Financial Statements'!C24</f>
        <v>5.67</v>
      </c>
      <c r="E41">
        <f>'Financial Statements'!D24</f>
        <v>3.31</v>
      </c>
    </row>
    <row r="42" spans="1:5" x14ac:dyDescent="0.25">
      <c r="A42" s="18">
        <f t="shared" si="3"/>
        <v>5.2999999999999989</v>
      </c>
      <c r="B42" s="1" t="s">
        <v>131</v>
      </c>
      <c r="C42">
        <f>'Financial Statements'!B116/(('Financial Statements'!B48-'Financial Statements'!B62)/'Financial Statements'!B27)</f>
        <v>44226.517338964317</v>
      </c>
      <c r="D42">
        <f>'Financial Statements'!C116/(('Financial Statements'!C48-'Financial Statements'!C62)/'Financial Statements'!C27)</f>
        <v>37458.075574576003</v>
      </c>
      <c r="E42">
        <f>'Financial Statements'!D116/(('Financial Statements'!D48-'Financial Statements'!D62)/'Financial Statements'!D27)</f>
        <v>30755.733962717521</v>
      </c>
    </row>
    <row r="43" spans="1:5" x14ac:dyDescent="0.25">
      <c r="A43" s="18">
        <f t="shared" si="3"/>
        <v>5.3999999999999986</v>
      </c>
      <c r="B43" s="3" t="s">
        <v>132</v>
      </c>
      <c r="C43">
        <f>'Financial Statements'!B68/'Financial Statements'!B27</f>
        <v>3.124822127430853E-3</v>
      </c>
      <c r="D43">
        <f>'Financial Statements'!C68/'Financial Statements'!C27</f>
        <v>3.7775565837141027E-3</v>
      </c>
      <c r="E43">
        <f>'Financial Statements'!D68/'Financial Statements'!D27</f>
        <v>3.7654767120949319E-3</v>
      </c>
    </row>
    <row r="44" spans="1:5" x14ac:dyDescent="0.25">
      <c r="A44" s="18">
        <f t="shared" si="3"/>
        <v>5.4999999999999982</v>
      </c>
      <c r="B44" s="1" t="s">
        <v>133</v>
      </c>
      <c r="C44">
        <f>C45/C41</f>
        <v>0.14796747967479673</v>
      </c>
      <c r="D44">
        <f t="shared" ref="D44:E44" si="4">D45/D41</f>
        <v>0.15343915343915343</v>
      </c>
      <c r="E44">
        <f t="shared" si="4"/>
        <v>0.24773413897280966</v>
      </c>
    </row>
    <row r="45" spans="1:5" x14ac:dyDescent="0.25">
      <c r="A45" s="18"/>
      <c r="B45" s="3" t="s">
        <v>134</v>
      </c>
      <c r="C45">
        <f>'Financial Statements'!B117</f>
        <v>0.91</v>
      </c>
      <c r="D45">
        <f>'Financial Statements'!C117</f>
        <v>0.87</v>
      </c>
      <c r="E45">
        <f>'Financial Statements'!D117</f>
        <v>0.82</v>
      </c>
    </row>
    <row r="46" spans="1:5" x14ac:dyDescent="0.25">
      <c r="A46" s="18">
        <f>+A44+0.1</f>
        <v>5.5999999999999979</v>
      </c>
      <c r="B46" s="1" t="s">
        <v>135</v>
      </c>
      <c r="C46">
        <f>('Financial Statements'!B117/'Financial Statements'!B116)*100</f>
        <v>0.65846599131693206</v>
      </c>
      <c r="D46">
        <f>('Financial Statements'!C117/'Financial Statements'!C116)*100</f>
        <v>0.61484098939929333</v>
      </c>
      <c r="E46">
        <f>('Financial Statements'!D117/'Financial Statements'!D116)*100</f>
        <v>0.70805629911061219</v>
      </c>
    </row>
    <row r="47" spans="1:5" x14ac:dyDescent="0.25">
      <c r="A47" s="18">
        <f t="shared" ref="A47:A50" si="5">+A45+0.1</f>
        <v>0.1</v>
      </c>
      <c r="B47" s="1" t="s">
        <v>136</v>
      </c>
      <c r="C47">
        <f>('Financial Statements'!B22/'Financial Statements'!B68)*100</f>
        <v>196.95887275023682</v>
      </c>
      <c r="D47">
        <f>('Financial Statements'!C22/'Financial Statements'!C68)*100</f>
        <v>150.07132667617688</v>
      </c>
      <c r="E47">
        <f>('Financial Statements'!D22/'Financial Statements'!D68)*100</f>
        <v>87.866358530127485</v>
      </c>
    </row>
    <row r="48" spans="1:5" x14ac:dyDescent="0.25">
      <c r="A48" s="18">
        <f t="shared" si="5"/>
        <v>5.6999999999999975</v>
      </c>
      <c r="B48" s="1" t="s">
        <v>137</v>
      </c>
      <c r="C48">
        <f>C21/('Financial Statements'!B48-'Financial Statements'!B56)</f>
        <v>0.61497788935116937</v>
      </c>
      <c r="D48">
        <f>D21/('Financial Statements'!C48-'Financial Statements'!C56)</f>
        <v>0.54430407811245962</v>
      </c>
      <c r="E48">
        <f>E21/('Financial Statements'!D48-'Financial Statements'!D56)</f>
        <v>0.31997839777387227</v>
      </c>
    </row>
    <row r="49" spans="1:5" x14ac:dyDescent="0.25">
      <c r="A49" s="18">
        <f t="shared" si="5"/>
        <v>0.2</v>
      </c>
      <c r="B49" s="1" t="s">
        <v>127</v>
      </c>
      <c r="C49">
        <f>'Financial Statements'!B22/'Financial Statements'!B48</f>
        <v>0.28292440929256851</v>
      </c>
      <c r="D49">
        <f>'Financial Statements'!C22/'Financial Statements'!C48</f>
        <v>0.26974205275183616</v>
      </c>
      <c r="E49">
        <f>'Financial Statements'!D22/'Financial Statements'!D48</f>
        <v>0.1772557180259843</v>
      </c>
    </row>
    <row r="50" spans="1:5" x14ac:dyDescent="0.25">
      <c r="A50" s="18">
        <f t="shared" si="5"/>
        <v>5.7999999999999972</v>
      </c>
      <c r="B50" s="1" t="s">
        <v>138</v>
      </c>
      <c r="C50">
        <f>C51/C19</f>
        <v>17168.035541324181</v>
      </c>
      <c r="D50">
        <f t="shared" ref="D50:E50" si="6">D51/D19</f>
        <v>19656.115766885963</v>
      </c>
      <c r="E50">
        <f t="shared" si="6"/>
        <v>25982.860020040342</v>
      </c>
    </row>
    <row r="51" spans="1:5" x14ac:dyDescent="0.25">
      <c r="A51" s="18"/>
      <c r="B51" s="3" t="s">
        <v>139</v>
      </c>
      <c r="C51">
        <f>('Financial Statements'!B116*'Financial Statements'!B27)+('Financial Statements'!B55+'Financial Statements'!B59)-'Financial Statements'!B36</f>
        <v>2241132527.5999999</v>
      </c>
      <c r="D51">
        <f>('Financial Statements'!C116*'Financial Statements'!C27)+('Financial Statements'!C55+'Financial Statements'!C59)-'Financial Statements'!C36</f>
        <v>2363313767</v>
      </c>
      <c r="E51">
        <f>('Financial Statements'!D116*'Financial Statements'!D27)+('Financial Statements'!D55+'Financial Statements'!D59)-'Financial Statements'!D36</f>
        <v>2009618325.3900001</v>
      </c>
    </row>
    <row r="53" spans="1:5" x14ac:dyDescent="0.25">
      <c r="A53" s="18">
        <v>6</v>
      </c>
      <c r="B53" s="11" t="s">
        <v>151</v>
      </c>
    </row>
    <row r="54" spans="1:5" x14ac:dyDescent="0.25">
      <c r="A54">
        <v>6.1</v>
      </c>
      <c r="B54" t="s">
        <v>152</v>
      </c>
      <c r="C54">
        <f>(('Financial Statements'!B8-'Financial Statements'!C8)/'Financial Statements'!C8)*100</f>
        <v>7.7937876041846055</v>
      </c>
      <c r="D54">
        <f>(('Financial Statements'!C8-'Financial Statements'!D8)/'Financial Statements'!D8)*100</f>
        <v>33.25938473307469</v>
      </c>
      <c r="E54">
        <f>(('Financial Statements'!D8-'Financial Statements'!E8)/'Financial Statements'!E8)*100</f>
        <v>5.5120803769784832</v>
      </c>
    </row>
    <row r="55" spans="1:5" x14ac:dyDescent="0.25">
      <c r="A55">
        <v>6.2</v>
      </c>
      <c r="B55" t="s">
        <v>153</v>
      </c>
      <c r="C55">
        <f>(('Financial Statements'!B6-'Financial Statements'!C6)/'Financial Statements'!C6)*100</f>
        <v>6.3239764351428418</v>
      </c>
      <c r="D55">
        <f>(('Financial Statements'!C6-'Financial Statements'!D6)/'Financial Statements'!D6)*100</f>
        <v>34.720743656765436</v>
      </c>
      <c r="E55">
        <f>(('Financial Statements'!D6-'Financial Statements'!E6)/'Financial Statements'!E6)*100</f>
        <v>3.2092312151970939</v>
      </c>
    </row>
    <row r="56" spans="1:5" x14ac:dyDescent="0.25">
      <c r="A56">
        <v>6.3</v>
      </c>
      <c r="B56" t="s">
        <v>154</v>
      </c>
      <c r="C56">
        <f>(('Financial Statements'!B7-'Financial Statements'!C7)/'Financial Statements'!C7)*100</f>
        <v>14.181951041286078</v>
      </c>
      <c r="D56">
        <f>(('Financial Statements'!C7-'Financial Statements'!D7)/'Financial Statements'!D7)*100</f>
        <v>27.259708376729652</v>
      </c>
      <c r="E56">
        <f>(('Financial Statements'!D7-'Financial Statements'!E7)/'Financial Statements'!E7)*100</f>
        <v>16.152167807997234</v>
      </c>
    </row>
    <row r="57" spans="1:5" x14ac:dyDescent="0.25">
      <c r="A57">
        <v>6.4</v>
      </c>
      <c r="B57" t="s">
        <v>155</v>
      </c>
      <c r="C57">
        <f>(('Financial Statements'!B13-'Financial Statements'!C13)/'Financial Statements'!C13)*100</f>
        <v>11.741997958596142</v>
      </c>
      <c r="D57">
        <f>(('Financial Statements'!C13-'Financial Statements'!D13)/'Financial Statements'!D13)*100</f>
        <v>45.61911658218682</v>
      </c>
      <c r="E57">
        <f>(('Financial Statements'!D13-'Financial Statements'!E13)/'Financial Statements'!E13)*100</f>
        <v>6.6712740873241723</v>
      </c>
    </row>
    <row r="58" spans="1:5" x14ac:dyDescent="0.25">
      <c r="A58">
        <v>6.5</v>
      </c>
      <c r="B58" t="s">
        <v>156</v>
      </c>
      <c r="C58">
        <f>(('Financial Statements'!B17-'Financial Statements'!C17)/'Financial Statements'!C17)*100</f>
        <v>16.993642764372137</v>
      </c>
      <c r="D58">
        <f>(('Financial Statements'!C17-'Financial Statements'!D17)/'Financial Statements'!D17)*100</f>
        <v>13.496948381090307</v>
      </c>
      <c r="E58">
        <f>(('Financial Statements'!D17-'Financial Statements'!E17)/'Financial Statements'!E17)*100</f>
        <v>12.204747257849226</v>
      </c>
    </row>
    <row r="59" spans="1:5" x14ac:dyDescent="0.25">
      <c r="A59">
        <v>6.6</v>
      </c>
      <c r="B59" s="26" t="s">
        <v>157</v>
      </c>
      <c r="C59">
        <f>(('Financial Statements'!B15-'Financial Statements'!C15)/'Financial Statements'!C15)*100</f>
        <v>19.791001186456146</v>
      </c>
      <c r="D59">
        <f>(('Financial Statements'!C15-'Financial Statements'!D15)/'Financial Statements'!D15)*100</f>
        <v>16.862201365187712</v>
      </c>
      <c r="E59">
        <f>(('Financial Statements'!D15-'Financial Statements'!E15)/'Financial Statements'!E15)*100</f>
        <v>15.631744465684157</v>
      </c>
    </row>
    <row r="60" spans="1:5" x14ac:dyDescent="0.25">
      <c r="A60">
        <v>6.7</v>
      </c>
      <c r="B60" s="1" t="s">
        <v>161</v>
      </c>
      <c r="C60">
        <f>(('Financial Statements'!B16-'Financial Statements'!C16)/'Financial Statements'!C16)*100</f>
        <v>14.203795567287125</v>
      </c>
      <c r="D60">
        <f>(('Financial Statements'!C16-'Financial Statements'!D16)/'Financial Statements'!D16)*100</f>
        <v>10.328379192608958</v>
      </c>
      <c r="E60">
        <f>(('Financial Statements'!D16-'Financial Statements'!E16)/'Financial Statements'!E16)*100</f>
        <v>9.1586736092080034</v>
      </c>
    </row>
    <row r="61" spans="1:5" x14ac:dyDescent="0.25">
      <c r="A61">
        <v>6.8</v>
      </c>
      <c r="B61" s="26" t="s">
        <v>158</v>
      </c>
      <c r="C61">
        <f>(('Financial Statements'!B48-'Financial Statements'!C48)/'Financial Statements'!C48)*100</f>
        <v>0.49942735369029234</v>
      </c>
      <c r="D61">
        <f>(('Financial Statements'!C48-'Financial Statements'!D48)/'Financial Statements'!D48)*100</f>
        <v>8.3714123400681704</v>
      </c>
      <c r="E61">
        <f>(('Financial Statements'!D48-'Financial Statements'!E48)/'Financial Statements'!E48)*100</f>
        <v>-4.3212137683300051</v>
      </c>
    </row>
    <row r="62" spans="1:5" x14ac:dyDescent="0.25">
      <c r="A62">
        <v>6.9</v>
      </c>
      <c r="B62" s="26" t="s">
        <v>159</v>
      </c>
      <c r="C62">
        <f>(('Financial Statements'!B62-'Financial Statements'!C62)/'Financial Statements'!C62)*100</f>
        <v>4.9219900525160467</v>
      </c>
      <c r="D62">
        <f>(('Financial Statements'!C62-'Financial Statements'!D62)/'Financial Statements'!D62)*100</f>
        <v>11.356841449783213</v>
      </c>
      <c r="E62">
        <f>(('Financial Statements'!D62-'Financial Statements'!E62)/'Financial Statements'!E62)*100</f>
        <v>4.2418597900237067</v>
      </c>
    </row>
    <row r="63" spans="1:5" x14ac:dyDescent="0.25">
      <c r="A63" s="27">
        <v>6.1</v>
      </c>
      <c r="B63" s="26" t="s">
        <v>160</v>
      </c>
      <c r="C63">
        <f>(('Financial Statements'!B68-'Financial Statements'!C68)/'Financial Statements'!C68)*100</f>
        <v>-19.682992550324933</v>
      </c>
      <c r="D63">
        <f>(('Financial Statements'!C68-'Financial Statements'!D68)/'Financial Statements'!D68)*100</f>
        <v>-3.4420483937617661</v>
      </c>
      <c r="E63">
        <f>(('Financial Statements'!D68-'Financial Statements'!E68)/'Financial Statements'!E68)*100</f>
        <v>-27.792635487578465</v>
      </c>
    </row>
    <row r="65" spans="1:5" x14ac:dyDescent="0.25">
      <c r="A65" s="18">
        <v>7</v>
      </c>
      <c r="B65" s="7" t="s">
        <v>162</v>
      </c>
    </row>
    <row r="66" spans="1:5" x14ac:dyDescent="0.25">
      <c r="A66" s="18">
        <v>7.1</v>
      </c>
      <c r="B66" s="1" t="s">
        <v>163</v>
      </c>
      <c r="C66">
        <f>('Financial Statements'!B12/'Financial Statements'!B8)*100</f>
        <v>56.690369438639912</v>
      </c>
      <c r="D66">
        <f>('Financial Statements'!C12/'Financial Statements'!C8)*100</f>
        <v>58.220640374832222</v>
      </c>
      <c r="E66">
        <f>('Financial Statements'!D12/'Financial Statements'!D8)*100</f>
        <v>61.76675227218913</v>
      </c>
    </row>
    <row r="67" spans="1:5" x14ac:dyDescent="0.25">
      <c r="A67" s="18">
        <v>7.2</v>
      </c>
      <c r="B67" s="1" t="s">
        <v>164</v>
      </c>
      <c r="C67">
        <f>('Financial Statements'!B13/'Financial Statements'!B8)*100</f>
        <v>43.309630561360088</v>
      </c>
      <c r="D67">
        <f>('Financial Statements'!C13/'Financial Statements'!C8)*100</f>
        <v>41.779359625167778</v>
      </c>
      <c r="E67">
        <f>('Financial Statements'!D13/'Financial Statements'!D8)*100</f>
        <v>38.233247727810863</v>
      </c>
    </row>
    <row r="68" spans="1:5" x14ac:dyDescent="0.25">
      <c r="A68" s="18">
        <v>7.3</v>
      </c>
      <c r="B68" s="1" t="s">
        <v>167</v>
      </c>
      <c r="C68">
        <f>('Financial Statements'!B17/'Financial Statements'!B8)*100</f>
        <v>13.020886165831492</v>
      </c>
      <c r="D68">
        <f>('Financial Statements'!C17/'Financial Statements'!C8)*100</f>
        <v>11.99698209760618</v>
      </c>
      <c r="E68">
        <f>('Financial Statements'!D17/'Financial Statements'!D8)*100</f>
        <v>14.085933373404004</v>
      </c>
    </row>
    <row r="69" spans="1:5" x14ac:dyDescent="0.25">
      <c r="A69" s="18">
        <v>7.4</v>
      </c>
      <c r="B69" s="1" t="s">
        <v>168</v>
      </c>
      <c r="C69">
        <f>('Financial Statements'!B15/'Financial Statements'!B8)*100</f>
        <v>6.6571483637986653</v>
      </c>
      <c r="D69">
        <f>('Financial Statements'!C15/'Financial Statements'!C8)*100</f>
        <v>5.9904269074427923</v>
      </c>
      <c r="E69">
        <f>('Financial Statements'!D15/'Financial Statements'!D8)*100</f>
        <v>6.8309564140393064</v>
      </c>
    </row>
    <row r="70" spans="1:5" s="1" customFormat="1" x14ac:dyDescent="0.25">
      <c r="A70" s="18">
        <v>7.5</v>
      </c>
      <c r="B70" s="1" t="s">
        <v>169</v>
      </c>
      <c r="C70">
        <f>('Financial Statements'!B16/'Financial Statements'!B8)*100</f>
        <v>6.3637378020328264</v>
      </c>
      <c r="D70">
        <f>('Financial Statements'!C16/'Financial Statements'!C8)*100</f>
        <v>6.0065551901633878</v>
      </c>
      <c r="E70">
        <f>('Financial Statements'!D16/'Financial Statements'!D8)*100</f>
        <v>7.254976959364698</v>
      </c>
    </row>
    <row r="71" spans="1:5" x14ac:dyDescent="0.25">
      <c r="A71" s="18">
        <v>7.6</v>
      </c>
      <c r="B71" s="1" t="s">
        <v>165</v>
      </c>
      <c r="C71">
        <f>('Financial Statements'!B18/'Financial Statements'!B8)*100</f>
        <v>30.288744395528592</v>
      </c>
      <c r="D71">
        <f>('Financial Statements'!C18/'Financial Statements'!C8)*100</f>
        <v>29.782377527561593</v>
      </c>
      <c r="E71">
        <f>('Financial Statements'!D18/'Financial Statements'!D8)*100</f>
        <v>24.147314354406863</v>
      </c>
    </row>
    <row r="72" spans="1:5" x14ac:dyDescent="0.25">
      <c r="A72" s="18">
        <v>7.7</v>
      </c>
      <c r="B72" s="1" t="s">
        <v>166</v>
      </c>
      <c r="C72">
        <f>('Financial Statements'!B22/'Financial Statements'!B8)*100</f>
        <v>25.309640705199733</v>
      </c>
      <c r="D72">
        <f>('Financial Statements'!C22/'Financial Statements'!C8)*100</f>
        <v>25.881793355694239</v>
      </c>
      <c r="E72">
        <f>('Financial Statements'!D22/'Financial Statements'!D8)*100</f>
        <v>20.913611278072235</v>
      </c>
    </row>
    <row r="74" spans="1:5" x14ac:dyDescent="0.25">
      <c r="A74" s="18">
        <v>8</v>
      </c>
    </row>
    <row r="75" spans="1:5" x14ac:dyDescent="0.25">
      <c r="A75" s="18">
        <v>8.1</v>
      </c>
      <c r="B75" s="1" t="s">
        <v>93</v>
      </c>
      <c r="C75">
        <f>('Financial Statements'!B21/'Financial Statements'!B20)*100</f>
        <v>16.204461684424405</v>
      </c>
      <c r="D75">
        <f>('Financial Statements'!C21/'Financial Statements'!C20)*100</f>
        <v>13.302260844085087</v>
      </c>
      <c r="E75">
        <f>('Financial Statements'!D21/'Financial Statements'!D20)*100</f>
        <v>14.428164731484102</v>
      </c>
    </row>
    <row r="76" spans="1:5" x14ac:dyDescent="0.25">
      <c r="A76" s="18">
        <v>8.1999999999999993</v>
      </c>
      <c r="B76" s="1" t="s">
        <v>170</v>
      </c>
      <c r="C76">
        <f>'Financial Statements'!B45-'Financial Statements'!C45+'Financial Statements'!B79</f>
        <v>13781</v>
      </c>
      <c r="D76">
        <f>'Financial Statements'!C45-'Financial Statements'!D45+'Financial Statements'!C79</f>
        <v>13958</v>
      </c>
      <c r="E76">
        <f>'Financial Statements'!D45-'Financial Statements'!E45+'Financial Statements'!D79</f>
        <v>10444</v>
      </c>
    </row>
    <row r="77" spans="1:5" x14ac:dyDescent="0.25">
      <c r="A77" s="18">
        <v>8.3000000000000007</v>
      </c>
      <c r="B77" s="1" t="s">
        <v>94</v>
      </c>
      <c r="C77">
        <f>(C76/'Financial Statements'!B8)*100</f>
        <v>3.4948063541011543</v>
      </c>
      <c r="D77">
        <f>(D76/'Financial Statements'!C8)*100</f>
        <v>3.815568986679132</v>
      </c>
      <c r="E77">
        <f>(E76/'Financial Statements'!D8)*100</f>
        <v>3.8045279857202705</v>
      </c>
    </row>
    <row r="78" spans="1:5" x14ac:dyDescent="0.25">
      <c r="A78" s="18">
        <v>8.4</v>
      </c>
      <c r="B78" s="1" t="s">
        <v>95</v>
      </c>
      <c r="C78">
        <f>(C76/'Financial Statements'!B47)*100</f>
        <v>6.3404646882907754</v>
      </c>
      <c r="D78">
        <f>(D76/'Financial Statements'!C47)*100</f>
        <v>6.4570746555887597</v>
      </c>
      <c r="E78">
        <f>(E76/'Financial Statements'!D47)*100</f>
        <v>5.7965866518662406</v>
      </c>
    </row>
  </sheetData>
  <mergeCells count="1">
    <mergeCell ref="C2:E2"/>
  </mergeCells>
  <pageMargins left="0.7" right="0.7" top="0.75" bottom="0.75" header="0.3" footer="0.3"/>
  <pageSetup orientation="portrait" r:id="rId1"/>
  <ignoredErrors>
    <ignoredError sqref="C19:E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Alexander Hakan Uyar</cp:lastModifiedBy>
  <dcterms:created xsi:type="dcterms:W3CDTF">2020-05-18T16:32:37Z</dcterms:created>
  <dcterms:modified xsi:type="dcterms:W3CDTF">2024-09-08T19:52:38Z</dcterms:modified>
</cp:coreProperties>
</file>