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ureen\OneDrive - University of South Wales\Desktop\"/>
    </mc:Choice>
  </mc:AlternateContent>
  <bookViews>
    <workbookView xWindow="0" yWindow="0" windowWidth="23040" windowHeight="7524" activeTab="2"/>
  </bookViews>
  <sheets>
    <sheet name="Instructions" sheetId="2" r:id="rId1"/>
    <sheet name="Financial Statements" sheetId="1" r:id="rId2"/>
    <sheet name="List of Ratios" sheetId="3" r:id="rId3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3" l="1"/>
  <c r="C84" i="3"/>
  <c r="D83" i="3"/>
  <c r="C83" i="3"/>
  <c r="D82" i="3"/>
  <c r="C82" i="3"/>
  <c r="D81" i="3"/>
  <c r="C81" i="3"/>
  <c r="D79" i="3"/>
  <c r="C79" i="3"/>
  <c r="D78" i="3"/>
  <c r="C78" i="3"/>
  <c r="D77" i="3"/>
  <c r="C77" i="3"/>
  <c r="D76" i="3"/>
  <c r="C76" i="3"/>
  <c r="D75" i="3"/>
  <c r="C75" i="3"/>
  <c r="D74" i="3"/>
  <c r="C74" i="3"/>
  <c r="D73" i="3"/>
  <c r="C73" i="3"/>
  <c r="D70" i="3" l="1"/>
  <c r="C70" i="3"/>
  <c r="D69" i="3"/>
  <c r="C69" i="3"/>
  <c r="D68" i="3"/>
  <c r="C68" i="3"/>
  <c r="D67" i="3"/>
  <c r="C67" i="3"/>
  <c r="D66" i="3"/>
  <c r="C66" i="3"/>
  <c r="D65" i="3"/>
  <c r="C65" i="3"/>
  <c r="D64" i="3"/>
  <c r="C64" i="3"/>
  <c r="D63" i="3"/>
  <c r="C63" i="3"/>
  <c r="D62" i="3"/>
  <c r="D61" i="3"/>
  <c r="C61" i="3"/>
  <c r="C62" i="3"/>
  <c r="D60" i="3"/>
  <c r="C60" i="3"/>
  <c r="D59" i="3"/>
  <c r="C59" i="3"/>
  <c r="D58" i="3"/>
  <c r="C58" i="3"/>
  <c r="D57" i="3"/>
  <c r="C57" i="3"/>
  <c r="D56" i="3"/>
  <c r="C56" i="3"/>
  <c r="D51" i="3" l="1"/>
  <c r="E51" i="3"/>
  <c r="C51" i="3"/>
  <c r="D49" i="3"/>
  <c r="E49" i="3"/>
  <c r="C49" i="3"/>
  <c r="D41" i="3"/>
  <c r="D53" i="3" s="1"/>
  <c r="E41" i="3"/>
  <c r="E47" i="3" s="1"/>
  <c r="C41" i="3"/>
  <c r="C53" i="3" s="1"/>
  <c r="D42" i="3"/>
  <c r="E42" i="3"/>
  <c r="C42" i="3"/>
  <c r="D45" i="3" l="1"/>
  <c r="D44" i="3" s="1"/>
  <c r="C47" i="3"/>
  <c r="C46" i="3" s="1"/>
  <c r="D47" i="3"/>
  <c r="D46" i="3" s="1"/>
  <c r="C45" i="3"/>
  <c r="C44" i="3" s="1"/>
  <c r="E46" i="3"/>
  <c r="E48" i="3"/>
  <c r="C48" i="3"/>
  <c r="E45" i="3"/>
  <c r="E44" i="3" s="1"/>
  <c r="E53" i="3"/>
  <c r="D37" i="3"/>
  <c r="E37" i="3"/>
  <c r="C37" i="3"/>
  <c r="D36" i="3"/>
  <c r="E36" i="3"/>
  <c r="C36" i="3"/>
  <c r="D35" i="3"/>
  <c r="E35" i="3"/>
  <c r="C35" i="3"/>
  <c r="D34" i="3"/>
  <c r="E34" i="3"/>
  <c r="C34" i="3"/>
  <c r="D31" i="3"/>
  <c r="D30" i="3" s="1"/>
  <c r="E31" i="3"/>
  <c r="E30" i="3" s="1"/>
  <c r="C31" i="3"/>
  <c r="C30" i="3" s="1"/>
  <c r="D29" i="3"/>
  <c r="E29" i="3"/>
  <c r="C29" i="3"/>
  <c r="D27" i="3"/>
  <c r="E27" i="3"/>
  <c r="C27" i="3"/>
  <c r="D26" i="3"/>
  <c r="E26" i="3"/>
  <c r="C26" i="3"/>
  <c r="D25" i="3"/>
  <c r="E25" i="3"/>
  <c r="C25" i="3"/>
  <c r="D22" i="3"/>
  <c r="E22" i="3"/>
  <c r="C22" i="3"/>
  <c r="D48" i="3" l="1"/>
  <c r="C19" i="3"/>
  <c r="C28" i="3" l="1"/>
  <c r="C52" i="3"/>
  <c r="C18" i="3"/>
  <c r="C20" i="3"/>
  <c r="D21" i="3"/>
  <c r="E21" i="3"/>
  <c r="C21" i="3"/>
  <c r="C50" i="3" s="1"/>
  <c r="D19" i="3"/>
  <c r="E19" i="3"/>
  <c r="E52" i="3" s="1"/>
  <c r="D17" i="3"/>
  <c r="E17" i="3"/>
  <c r="C17" i="3"/>
  <c r="D14" i="3"/>
  <c r="D13" i="3" s="1"/>
  <c r="E14" i="3"/>
  <c r="E13" i="3" s="1"/>
  <c r="C14" i="3"/>
  <c r="C13" i="3" s="1"/>
  <c r="D28" i="3" l="1"/>
  <c r="D52" i="3"/>
  <c r="D18" i="3"/>
  <c r="E20" i="3"/>
  <c r="E50" i="3"/>
  <c r="D20" i="3"/>
  <c r="D50" i="3"/>
  <c r="E18" i="3"/>
  <c r="E28" i="3"/>
  <c r="D11" i="3" l="1"/>
  <c r="E11" i="3"/>
  <c r="C11" i="3" l="1"/>
  <c r="D10" i="3"/>
  <c r="E10" i="3"/>
  <c r="C10" i="3"/>
  <c r="D9" i="3"/>
  <c r="E9" i="3"/>
  <c r="C9" i="3"/>
  <c r="D8" i="3"/>
  <c r="E8" i="3"/>
  <c r="C8" i="3"/>
  <c r="C12" i="3" l="1"/>
  <c r="E12" i="3"/>
  <c r="D12" i="3"/>
  <c r="D7" i="3"/>
  <c r="E7" i="3"/>
  <c r="C7" i="3"/>
  <c r="D6" i="3"/>
  <c r="E6" i="3"/>
  <c r="C6" i="3"/>
  <c r="D5" i="3"/>
  <c r="E5" i="3"/>
  <c r="C5" i="3"/>
  <c r="D109" i="1" l="1"/>
  <c r="B109" i="1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B48" i="1"/>
  <c r="D47" i="1"/>
  <c r="C47" i="1"/>
  <c r="B47" i="1"/>
  <c r="D42" i="1"/>
  <c r="C42" i="1"/>
  <c r="B42" i="1"/>
  <c r="D17" i="1"/>
  <c r="C17" i="1"/>
  <c r="B17" i="1"/>
  <c r="D13" i="1"/>
  <c r="D18" i="1" s="1"/>
  <c r="D20" i="1" s="1"/>
  <c r="D22" i="1" s="1"/>
  <c r="D76" i="1" s="1"/>
  <c r="D91" i="1" s="1"/>
  <c r="D12" i="1"/>
  <c r="C12" i="1"/>
  <c r="B12" i="1"/>
  <c r="D8" i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B18" i="1" l="1"/>
  <c r="B20" i="1" s="1"/>
  <c r="B22" i="1" s="1"/>
  <c r="B76" i="1" s="1"/>
  <c r="B91" i="1" s="1"/>
  <c r="C48" i="1"/>
  <c r="D62" i="1"/>
  <c r="D69" i="1" s="1"/>
  <c r="C69" i="1"/>
  <c r="D48" i="1"/>
  <c r="B69" i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34" i="3"/>
  <c r="A35" i="3" s="1"/>
  <c r="A36" i="3" s="1"/>
  <c r="A37" i="3" s="1"/>
  <c r="A42" i="3" l="1"/>
  <c r="A43" i="3" s="1"/>
  <c r="A44" i="3" s="1"/>
  <c r="A46" i="3" s="1"/>
  <c r="A55" i="3"/>
  <c r="A47" i="3" l="1"/>
  <c r="A49" i="3" s="1"/>
  <c r="A50" i="3" s="1"/>
  <c r="A51" i="3" s="1"/>
  <c r="A52" i="3" s="1"/>
</calcChain>
</file>

<file path=xl/sharedStrings.xml><?xml version="1.0" encoding="utf-8"?>
<sst xmlns="http://schemas.openxmlformats.org/spreadsheetml/2006/main" count="203" uniqueCount="161">
  <si>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</si>
  <si>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</si>
  <si>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</si>
  <si>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</si>
  <si>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</si>
  <si>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</si>
  <si>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</si>
  <si>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</si>
  <si>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</si>
  <si>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</si>
  <si>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</si>
  <si>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</si>
  <si>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</si>
  <si>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</si>
  <si>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</si>
  <si>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</si>
  <si>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</si>
  <si>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</si>
  <si>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</si>
  <si>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</si>
  <si>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</si>
  <si>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</si>
  <si>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</si>
  <si>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</si>
  <si>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</si>
  <si>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</si>
  <si>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</si>
  <si>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</si>
  <si>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</si>
  <si>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</si>
  <si>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</si>
  <si>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</si>
  <si>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</si>
  <si>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</si>
  <si>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</si>
  <si>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</si>
  <si>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</si>
  <si>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</si>
  <si>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</si>
  <si>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</si>
  <si>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</si>
  <si>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</si>
  <si>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</si>
  <si>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</si>
  <si>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</si>
  <si>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</si>
  <si>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</si>
  <si>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</si>
  <si>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</si>
  <si>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</si>
  <si>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</si>
  <si>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</si>
  <si>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</si>
  <si>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</si>
  <si>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</si>
  <si>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</si>
  <si>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</si>
  <si>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</si>
  <si>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</si>
  <si>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</si>
  <si>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</si>
  <si>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</si>
  <si>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</si>
  <si>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</si>
  <si>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</si>
  <si>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</si>
  <si>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</si>
  <si>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</si>
  <si>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</si>
  <si>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</si>
  <si>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</si>
  <si>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</si>
  <si>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</si>
  <si>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</si>
  <si>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</si>
  <si>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</si>
  <si>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</si>
  <si>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</si>
  <si>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</si>
  <si>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</si>
  <si>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</si>
  <si>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</si>
  <si>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</si>
  <si>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</si>
  <si>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</si>
  <si>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</si>
  <si>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</si>
  <si>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</si>
  <si>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</si>
  <si>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</si>
  <si>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</si>
  <si>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</si>
  <si>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</si>
  <si>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</si>
  <si>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</si>
  <si>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</si>
  <si>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</si>
  <si>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</si>
  <si>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</si>
  <si>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</si>
  <si>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</si>
  <si>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</si>
  <si>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</si>
  <si>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</si>
  <si>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</si>
  <si>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</si>
  <si>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</si>
  <si>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</si>
  <si>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</si>
  <si>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</si>
  <si>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</si>
  <si>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</si>
  <si>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</si>
  <si>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</si>
  <si>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</si>
  <si>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</si>
  <si>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</si>
  <si>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</si>
  <si>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</si>
  <si>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</si>
  <si>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</si>
  <si>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</si>
  <si>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</si>
  <si>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</si>
  <si>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</si>
  <si>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</si>
  <si>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</si>
  <si>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</si>
  <si>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</si>
  <si>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</si>
  <si>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</si>
  <si>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</si>
  <si>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</si>
  <si>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</si>
  <si>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</si>
  <si>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</si>
  <si>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</si>
  <si>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</si>
  <si>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</si>
  <si>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</si>
  <si>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</si>
  <si>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</si>
  <si>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</si>
  <si>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</si>
  <si>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</si>
  <si>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</si>
  <si>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</si>
  <si>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</si>
  <si>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</si>
  <si>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</si>
  <si>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Market Price</t>
  </si>
  <si>
    <t>Diluted Number of Shares (in mn)</t>
  </si>
  <si>
    <t>Growth Rates</t>
  </si>
  <si>
    <t xml:space="preserve">Product Sales </t>
  </si>
  <si>
    <t>Service Sales</t>
  </si>
  <si>
    <t>Total Net Sales</t>
  </si>
  <si>
    <t>Gross Profit</t>
  </si>
  <si>
    <t>COGS</t>
  </si>
  <si>
    <t>Margins/ % of Sales</t>
  </si>
  <si>
    <t>Gross Profits</t>
  </si>
  <si>
    <t>Capex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</si>
</sst>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2" fontId="0" fillId="0" borderId="0" xfId="0" applyNumberFormat="1"/>
    <xf numFmtId="167" fontId="0" fillId="0" borderId="0" xfId="3" applyNumberFormat="1" applyFont="1"/>
    <xf numFmtId="0" fontId="0" fillId="0" borderId="0" xfId="0" applyFont="1" applyAlignment="1">
      <alignment horizontal="left"/>
    </xf>
    <xf numFmtId="1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6" workbookViewId="0">
      <selection activeCell="A22" sqref="A22:A24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zoomScale="114" workbookViewId="0">
      <selection activeCell="A6" sqref="A6:A8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9" t="s">
        <v>1</v>
      </c>
      <c r="B2" s="29"/>
      <c r="C2" s="29"/>
      <c r="D2" s="29"/>
    </row>
    <row r="3" spans="1:10" x14ac:dyDescent="0.3">
      <c r="B3" s="28" t="s">
        <v>23</v>
      </c>
      <c r="C3" s="28"/>
      <c r="D3" s="28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</row>
    <row r="13" spans="1:10" x14ac:dyDescent="0.3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</row>
    <row r="18" spans="1:4" s="21" customFormat="1" x14ac:dyDescent="0.3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9" t="s">
        <v>24</v>
      </c>
      <c r="B31" s="29"/>
      <c r="C31" s="29"/>
      <c r="D31" s="29"/>
    </row>
    <row r="32" spans="1:4" x14ac:dyDescent="0.3">
      <c r="B32" s="28" t="s">
        <v>142</v>
      </c>
      <c r="C32" s="28"/>
      <c r="D32" s="28"/>
    </row>
    <row r="33" spans="1:4" x14ac:dyDescent="0.3">
      <c r="B33" s="7">
        <f>+B4</f>
        <v>2022</v>
      </c>
      <c r="C33" s="7">
        <f>+C4</f>
        <v>2021</v>
      </c>
      <c r="D33" s="7">
        <f>+D4</f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3" t="s">
        <v>53</v>
      </c>
      <c r="B61" s="22">
        <f>+B59+B60</f>
        <v>148101</v>
      </c>
      <c r="C61" s="22">
        <f>+C59+C60</f>
        <v>162431</v>
      </c>
      <c r="D61" s="22">
        <f>+D59+D60</f>
        <v>153157</v>
      </c>
    </row>
    <row r="62" spans="1:4" x14ac:dyDescent="0.3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</row>
    <row r="70" spans="1:4" ht="15" thickTop="1" x14ac:dyDescent="0.3"/>
    <row r="71" spans="1:4" x14ac:dyDescent="0.3">
      <c r="A71" s="29" t="s">
        <v>55</v>
      </c>
      <c r="B71" s="29"/>
      <c r="C71" s="29"/>
      <c r="D71" s="29"/>
    </row>
    <row r="72" spans="1:4" x14ac:dyDescent="0.3">
      <c r="B72" s="28" t="s">
        <v>23</v>
      </c>
      <c r="C72" s="28"/>
      <c r="D72" s="28"/>
    </row>
    <row r="73" spans="1:4" x14ac:dyDescent="0.3">
      <c r="B73" s="7">
        <f>+B33</f>
        <v>2022</v>
      </c>
      <c r="C73" s="7">
        <f>+C33</f>
        <v>2021</v>
      </c>
      <c r="D73" s="7">
        <f>+D33</f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>+SUM(C93:C98)</f>
        <v>-14545</v>
      </c>
      <c r="D99" s="13">
        <f>+SUM(D93:D98)</f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topLeftCell="A43" workbookViewId="0">
      <selection activeCell="D81" sqref="D81"/>
    </sheetView>
  </sheetViews>
  <sheetFormatPr defaultRowHeight="14.4" x14ac:dyDescent="0.3"/>
  <cols>
    <col min="1" max="1" width="4.6640625" customWidth="1"/>
    <col min="2" max="2" width="44.88671875" customWidth="1"/>
    <col min="3" max="3" width="12.5546875" bestFit="1" customWidth="1"/>
    <col min="4" max="4" width="11.5546875" bestFit="1" customWidth="1"/>
    <col min="5" max="5" width="10.5546875" bestFit="1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28" t="s">
        <v>23</v>
      </c>
      <c r="D2" s="28"/>
      <c r="E2" s="28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4">
        <f>'Financial Statements'!B42/'Financial Statements'!B56</f>
        <v>0.87935602862672257</v>
      </c>
      <c r="D5" s="24">
        <f>'Financial Statements'!C42/'Financial Statements'!C56</f>
        <v>1.0745531195957954</v>
      </c>
      <c r="E5" s="24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4">
        <f>('Financial Statements'!B42-'Financial Statements'!B39)/'Financial Statements'!B56</f>
        <v>0.84723539114961488</v>
      </c>
      <c r="D6" s="24">
        <f>('Financial Statements'!C42-'Financial Statements'!C39)/'Financial Statements'!C56</f>
        <v>1.0221149018576519</v>
      </c>
      <c r="E6" s="24">
        <f>('Financial Statements'!D42-'Financial Statements'!D39)/'Financial Statements'!D56</f>
        <v>1.325072111735236</v>
      </c>
    </row>
    <row r="7" spans="1:10" x14ac:dyDescent="0.3">
      <c r="A7" s="18">
        <f t="shared" si="0"/>
        <v>1.3000000000000003</v>
      </c>
      <c r="B7" s="1" t="s">
        <v>102</v>
      </c>
      <c r="C7" s="24">
        <f>('Financial Statements'!B36+'Financial Statements'!B37)/'Financial Statements'!B56</f>
        <v>0.31369900377966253</v>
      </c>
      <c r="D7" s="24">
        <f>('Financial Statements'!C36+'Financial Statements'!C37)/'Financial Statements'!C56</f>
        <v>0.49919111259872012</v>
      </c>
      <c r="E7" s="24">
        <f>('Financial Statements'!D36+'Financial Statements'!D37)/'Financial Statements'!D56</f>
        <v>0.86290230757552755</v>
      </c>
    </row>
    <row r="8" spans="1:10" x14ac:dyDescent="0.3">
      <c r="A8" s="18">
        <f t="shared" si="0"/>
        <v>1.4000000000000004</v>
      </c>
      <c r="B8" s="1" t="s">
        <v>103</v>
      </c>
      <c r="C8" s="18">
        <f>'Financial Statements'!B42/('Financial Statements'!B17/365)</f>
        <v>962.56354075372474</v>
      </c>
      <c r="D8" s="18">
        <f>'Financial Statements'!C42/('Financial Statements'!C17/365)</f>
        <v>1121.4058832911796</v>
      </c>
      <c r="E8" s="18">
        <f>'Financial Statements'!D42/('Financial Statements'!D17/365)</f>
        <v>1356.5543860556534</v>
      </c>
    </row>
    <row r="9" spans="1:10" x14ac:dyDescent="0.3">
      <c r="A9" s="18">
        <f t="shared" si="0"/>
        <v>1.5000000000000004</v>
      </c>
      <c r="B9" s="1" t="s">
        <v>104</v>
      </c>
      <c r="C9" s="18">
        <f>('Financial Statements'!B39/'Financial Statements'!B12)*365</f>
        <v>8.0756980666171607</v>
      </c>
      <c r="D9" s="18">
        <f>('Financial Statements'!C39/'Financial Statements'!C12)*365</f>
        <v>11.27659274770989</v>
      </c>
      <c r="E9" s="18">
        <f>('Financial Statements'!D39/'Financial Statements'!D12)*365</f>
        <v>8.7418833562358831</v>
      </c>
    </row>
    <row r="10" spans="1:10" x14ac:dyDescent="0.3">
      <c r="A10" s="18">
        <f t="shared" si="0"/>
        <v>1.6000000000000005</v>
      </c>
      <c r="B10" s="1" t="s">
        <v>105</v>
      </c>
      <c r="C10" s="18">
        <f>('Financial Statements'!B51/'Financial Statements'!B12)*365</f>
        <v>104.68527730310539</v>
      </c>
      <c r="D10" s="18">
        <f>('Financial Statements'!C51/'Financial Statements'!C12)*365</f>
        <v>93.851071222315596</v>
      </c>
      <c r="E10" s="18">
        <f>('Financial Statements'!D51/'Financial Statements'!D12)*365</f>
        <v>91.048189715674198</v>
      </c>
    </row>
    <row r="11" spans="1:10" x14ac:dyDescent="0.3">
      <c r="A11" s="18">
        <f t="shared" si="0"/>
        <v>1.7000000000000006</v>
      </c>
      <c r="B11" s="1" t="s">
        <v>106</v>
      </c>
      <c r="C11" s="18">
        <f>('Financial Statements'!B38/'Financial Statements'!B8)*365</f>
        <v>26.087825363656648</v>
      </c>
      <c r="D11" s="18">
        <f>('Financial Statements'!C38/'Financial Statements'!C8)*365</f>
        <v>26.219311841713207</v>
      </c>
      <c r="E11" s="18">
        <f>('Financial Statements'!D38/'Financial Statements'!D8)*365</f>
        <v>21.433437152796749</v>
      </c>
    </row>
    <row r="12" spans="1:10" x14ac:dyDescent="0.3">
      <c r="A12" s="18">
        <f t="shared" si="0"/>
        <v>1.8000000000000007</v>
      </c>
      <c r="B12" s="1" t="s">
        <v>107</v>
      </c>
      <c r="C12" s="18">
        <f>C10-(C9+C11)</f>
        <v>70.521753872831582</v>
      </c>
      <c r="D12" s="18">
        <f>D10-(D9+D11)</f>
        <v>56.355166632892498</v>
      </c>
      <c r="E12" s="18">
        <f>E10-(E9+E11)</f>
        <v>60.872869206641568</v>
      </c>
    </row>
    <row r="13" spans="1:10" x14ac:dyDescent="0.3">
      <c r="A13" s="18">
        <f t="shared" si="0"/>
        <v>1.9000000000000008</v>
      </c>
      <c r="B13" s="1" t="s">
        <v>108</v>
      </c>
      <c r="C13" s="25">
        <f>'List of Ratios'!C14/'Financial Statements'!B8</f>
        <v>-4.711052727678481E-2</v>
      </c>
      <c r="D13" s="25">
        <f>'List of Ratios'!D14/'Financial Statements'!C8</f>
        <v>2.557289573748623E-2</v>
      </c>
      <c r="E13" s="25">
        <f>'List of Ratios'!E14/'Financial Statements'!D8</f>
        <v>0.13959528623208203</v>
      </c>
    </row>
    <row r="14" spans="1:10" x14ac:dyDescent="0.3">
      <c r="A14" s="18"/>
      <c r="B14" s="3" t="s">
        <v>109</v>
      </c>
      <c r="C14" s="24">
        <f>'Financial Statements'!B42-'Financial Statements'!B56</f>
        <v>-18577</v>
      </c>
      <c r="D14" s="24">
        <f>'Financial Statements'!C42-'Financial Statements'!C56</f>
        <v>9355</v>
      </c>
      <c r="E14" s="24">
        <f>'Financial Statements'!D42-'Financial Statements'!D56</f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5" x14ac:dyDescent="0.3">
      <c r="A17" s="18">
        <f>+A16+0.1</f>
        <v>2.1</v>
      </c>
      <c r="B17" s="1" t="s">
        <v>9</v>
      </c>
      <c r="C17" s="25">
        <f>'Financial Statements'!B13/'Financial Statements'!B8</f>
        <v>0.43309630561360085</v>
      </c>
      <c r="D17" s="25">
        <f>'Financial Statements'!C13/'Financial Statements'!C8</f>
        <v>0.41779359625167778</v>
      </c>
      <c r="E17" s="25">
        <f>'Financial Statements'!D13/'Financial Statements'!D8</f>
        <v>0.38233247727810865</v>
      </c>
    </row>
    <row r="18" spans="1:5" x14ac:dyDescent="0.3">
      <c r="A18" s="18">
        <f>+A17+0.1</f>
        <v>2.2000000000000002</v>
      </c>
      <c r="B18" s="1" t="s">
        <v>111</v>
      </c>
      <c r="C18" s="25">
        <f>C19/'Financial Statements'!B8</f>
        <v>0.33746525734921184</v>
      </c>
      <c r="D18" s="25">
        <f>D19/'Financial Statements'!C8</f>
        <v>0.33672027270465832</v>
      </c>
      <c r="E18" s="25">
        <f>E19/'Financial Statements'!D8</f>
        <v>0.29560861883685774</v>
      </c>
    </row>
    <row r="19" spans="1:5" x14ac:dyDescent="0.3">
      <c r="A19" s="18"/>
      <c r="B19" s="3" t="s">
        <v>112</v>
      </c>
      <c r="C19" s="24">
        <f>'Financial Statements'!B20+'Financial Statements'!B79+'Financial Statements'!B114</f>
        <v>133072</v>
      </c>
      <c r="D19" s="24">
        <f>'Financial Statements'!C20+'Financial Statements'!C79+'Financial Statements'!C114</f>
        <v>123178</v>
      </c>
      <c r="E19" s="24">
        <f>'Financial Statements'!D20+'Financial Statements'!D79+'Financial Statements'!D114</f>
        <v>81149</v>
      </c>
    </row>
    <row r="20" spans="1:5" x14ac:dyDescent="0.3">
      <c r="A20" s="18">
        <f>+A18+0.1</f>
        <v>2.3000000000000003</v>
      </c>
      <c r="B20" s="1" t="s">
        <v>113</v>
      </c>
      <c r="C20" s="25">
        <f>C21/'Financial Statements'!B8</f>
        <v>0.30930595849140818</v>
      </c>
      <c r="D20" s="25">
        <f>D21/'Financial Statements'!C8</f>
        <v>0.30587424859970969</v>
      </c>
      <c r="E20" s="25">
        <f>E21/'Financial Statements'!D8</f>
        <v>0.25533395260732566</v>
      </c>
    </row>
    <row r="21" spans="1:5" x14ac:dyDescent="0.3">
      <c r="A21" s="18"/>
      <c r="B21" s="3" t="s">
        <v>114</v>
      </c>
      <c r="C21" s="24">
        <f>'Financial Statements'!B20+'Financial Statements'!B114</f>
        <v>121968</v>
      </c>
      <c r="D21" s="24">
        <f>'Financial Statements'!C20+'Financial Statements'!C114</f>
        <v>111894</v>
      </c>
      <c r="E21" s="24">
        <f>'Financial Statements'!D20+'Financial Statements'!D114</f>
        <v>70093</v>
      </c>
    </row>
    <row r="22" spans="1:5" x14ac:dyDescent="0.3">
      <c r="A22" s="18">
        <f>+A20+0.1</f>
        <v>2.4000000000000004</v>
      </c>
      <c r="B22" s="1" t="s">
        <v>115</v>
      </c>
      <c r="C22" s="25">
        <f>'Financial Statements'!B22/'Financial Statements'!B8</f>
        <v>0.25309640705199732</v>
      </c>
      <c r="D22" s="25">
        <f>'Financial Statements'!C22/'Financial Statements'!C8</f>
        <v>0.25881793355694238</v>
      </c>
      <c r="E22" s="25">
        <f>'Financial Statements'!D22/'Financial Statements'!D8</f>
        <v>0.20913611278072236</v>
      </c>
    </row>
    <row r="23" spans="1:5" x14ac:dyDescent="0.3">
      <c r="A23" s="18"/>
    </row>
    <row r="24" spans="1:5" x14ac:dyDescent="0.3">
      <c r="A24" s="18">
        <f>+A16+1</f>
        <v>3</v>
      </c>
      <c r="B24" s="7" t="s">
        <v>116</v>
      </c>
    </row>
    <row r="25" spans="1:5" x14ac:dyDescent="0.3">
      <c r="A25" s="18">
        <f t="shared" ref="A25:A30" si="1">+A24+0.1</f>
        <v>3.1</v>
      </c>
      <c r="B25" s="1" t="s">
        <v>117</v>
      </c>
      <c r="C25" s="24">
        <f>'Financial Statements'!B62/'Financial Statements'!B68</f>
        <v>5.9615369434796337</v>
      </c>
      <c r="D25" s="24">
        <f>'Financial Statements'!C62/'Financial Statements'!C68</f>
        <v>4.5635124425423994</v>
      </c>
      <c r="E25" s="24">
        <f>'Financial Statements'!D62/'Financial Statements'!D68</f>
        <v>3.9570394404566951</v>
      </c>
    </row>
    <row r="26" spans="1:5" x14ac:dyDescent="0.3">
      <c r="A26" s="18">
        <f t="shared" si="1"/>
        <v>3.2</v>
      </c>
      <c r="B26" s="1" t="s">
        <v>118</v>
      </c>
      <c r="C26" s="24">
        <f>'Financial Statements'!B62/'Financial Statements'!B48</f>
        <v>0.85635355983614692</v>
      </c>
      <c r="D26" s="24">
        <f>'Financial Statements'!C62/'Financial Statements'!C48</f>
        <v>0.82025743443057308</v>
      </c>
      <c r="E26" s="24">
        <f>'Financial Statements'!D62/'Financial Statements'!D48</f>
        <v>0.79826668477992391</v>
      </c>
    </row>
    <row r="27" spans="1:5" x14ac:dyDescent="0.3">
      <c r="A27" s="18">
        <f t="shared" si="1"/>
        <v>3.3000000000000003</v>
      </c>
      <c r="B27" s="1" t="s">
        <v>119</v>
      </c>
      <c r="C27" s="24">
        <f>'Financial Statements'!B59/'Financial Statements'!B68</f>
        <v>1.9529325860435744</v>
      </c>
      <c r="D27" s="24">
        <f>'Financial Statements'!C59/'Financial Statements'!C68</f>
        <v>1.729370740212395</v>
      </c>
      <c r="E27" s="24">
        <f>'Financial Statements'!D59/'Financial Statements'!D68</f>
        <v>1.5100782075024104</v>
      </c>
    </row>
    <row r="28" spans="1:5" x14ac:dyDescent="0.3">
      <c r="A28" s="18">
        <f t="shared" si="1"/>
        <v>3.4000000000000004</v>
      </c>
      <c r="B28" s="1" t="s">
        <v>120</v>
      </c>
      <c r="C28" s="24">
        <f>C19/'Financial Statements'!B114</f>
        <v>46.447469458987783</v>
      </c>
      <c r="D28" s="24">
        <f>D19/'Financial Statements'!C114</f>
        <v>45.842203200595456</v>
      </c>
      <c r="E28" s="24">
        <f>E19/'Financial Statements'!D114</f>
        <v>27.031645569620252</v>
      </c>
    </row>
    <row r="29" spans="1:5" x14ac:dyDescent="0.3">
      <c r="A29" s="18">
        <f t="shared" si="1"/>
        <v>3.5000000000000004</v>
      </c>
      <c r="B29" s="1" t="s">
        <v>121</v>
      </c>
      <c r="C29" s="24">
        <f>'Financial Statements'!B18/'Financial Statements'!B56</f>
        <v>0.7756555961086361</v>
      </c>
      <c r="D29" s="24">
        <f>'Financial Statements'!C18/'Financial Statements'!C56</f>
        <v>0.86825097026641485</v>
      </c>
      <c r="E29" s="24">
        <f>'Financial Statements'!D18/'Financial Statements'!D56</f>
        <v>0.6289661454379839</v>
      </c>
    </row>
    <row r="30" spans="1:5" x14ac:dyDescent="0.3">
      <c r="A30" s="18">
        <f t="shared" si="1"/>
        <v>3.6000000000000005</v>
      </c>
      <c r="B30" s="1" t="s">
        <v>122</v>
      </c>
      <c r="C30" s="24">
        <f>C31/'Financial Statements'!B28</f>
        <v>6.112832685453636E-3</v>
      </c>
      <c r="D30" s="24">
        <f>D31/'Financial Statements'!C28</f>
        <v>5.3064589281454598E-3</v>
      </c>
      <c r="E30" s="24">
        <f>E31/'Financial Statements'!D28</f>
        <v>4.3578313226892368E-3</v>
      </c>
    </row>
    <row r="31" spans="1:5" x14ac:dyDescent="0.3">
      <c r="A31" s="18"/>
      <c r="B31" s="3" t="s">
        <v>123</v>
      </c>
      <c r="C31" s="24">
        <f>'Financial Statements'!B91-((-1)*'Financial Statements'!B99)</f>
        <v>99797</v>
      </c>
      <c r="D31" s="24">
        <f>'Financial Statements'!C91-((-1)*'Financial Statements'!C99)</f>
        <v>89493</v>
      </c>
      <c r="E31" s="24">
        <f>'Financial Statements'!D91-((-1)*'Financial Statements'!D99)</f>
        <v>76385</v>
      </c>
    </row>
    <row r="32" spans="1:5" x14ac:dyDescent="0.3">
      <c r="A32" s="18"/>
    </row>
    <row r="33" spans="1:5" x14ac:dyDescent="0.3">
      <c r="A33" s="18">
        <f>+A24+1</f>
        <v>4</v>
      </c>
      <c r="B33" s="17" t="s">
        <v>124</v>
      </c>
    </row>
    <row r="34" spans="1:5" x14ac:dyDescent="0.3">
      <c r="A34" s="18">
        <f>+A33+0.1</f>
        <v>4.0999999999999996</v>
      </c>
      <c r="B34" s="1" t="s">
        <v>125</v>
      </c>
      <c r="C34" s="24">
        <f>'Financial Statements'!B8/'Financial Statements'!B48</f>
        <v>1.1178523337727317</v>
      </c>
      <c r="D34" s="24">
        <f>'Financial Statements'!C8/'Financial Statements'!C48</f>
        <v>1.0422077367080529</v>
      </c>
      <c r="E34" s="24">
        <f>'Financial Statements'!D8/'Financial Statements'!D48</f>
        <v>0.84756150274168851</v>
      </c>
    </row>
    <row r="35" spans="1:5" x14ac:dyDescent="0.3">
      <c r="A35" s="18">
        <f>+A34+0.1</f>
        <v>4.1999999999999993</v>
      </c>
      <c r="B35" s="1" t="s">
        <v>126</v>
      </c>
      <c r="C35" s="24">
        <f>'Financial Statements'!B8/'Financial Statements'!B47</f>
        <v>1.8142535081665516</v>
      </c>
      <c r="D35" s="24">
        <f>'Financial Statements'!C8/'Financial Statements'!C47</f>
        <v>1.6922966608994938</v>
      </c>
      <c r="E35" s="24">
        <f>'Financial Statements'!D8/'Financial Statements'!D47</f>
        <v>1.5236020535590398</v>
      </c>
    </row>
    <row r="36" spans="1:5" x14ac:dyDescent="0.3">
      <c r="A36" s="18">
        <f>+A35+0.1</f>
        <v>4.2999999999999989</v>
      </c>
      <c r="B36" s="1" t="s">
        <v>127</v>
      </c>
      <c r="C36" s="24">
        <f>'Financial Statements'!B8/'Financial Statements'!B39</f>
        <v>79.726647796198947</v>
      </c>
      <c r="D36" s="24">
        <f>'Financial Statements'!C8/'Financial Statements'!C39</f>
        <v>55.595288753799394</v>
      </c>
      <c r="E36" s="24">
        <f>'Financial Statements'!D8/'Financial Statements'!D39</f>
        <v>67.597882295001227</v>
      </c>
    </row>
    <row r="37" spans="1:5" x14ac:dyDescent="0.3">
      <c r="A37" s="18">
        <f>+A36+0.1</f>
        <v>4.3999999999999986</v>
      </c>
      <c r="B37" s="1" t="s">
        <v>128</v>
      </c>
      <c r="C37" s="24">
        <f>'Financial Statements'!B22/'Financial Statements'!B48</f>
        <v>0.28292440929256851</v>
      </c>
      <c r="D37" s="24">
        <f>'Financial Statements'!C22/'Financial Statements'!C48</f>
        <v>0.26974205275183616</v>
      </c>
      <c r="E37" s="24">
        <f>'Financial Statements'!D22/'Financial Statements'!D48</f>
        <v>0.1772557180259843</v>
      </c>
    </row>
    <row r="38" spans="1:5" x14ac:dyDescent="0.3">
      <c r="A38" s="18"/>
    </row>
    <row r="39" spans="1:5" x14ac:dyDescent="0.3">
      <c r="A39" s="18">
        <f>+A33+1</f>
        <v>5</v>
      </c>
      <c r="B39" s="17" t="s">
        <v>129</v>
      </c>
    </row>
    <row r="40" spans="1:5" x14ac:dyDescent="0.3">
      <c r="A40" s="18"/>
      <c r="B40" s="26" t="s">
        <v>150</v>
      </c>
      <c r="C40" s="24">
        <v>138.19999999999999</v>
      </c>
      <c r="D40" s="24">
        <v>146.91999999999999</v>
      </c>
      <c r="E40" s="24">
        <v>112.28</v>
      </c>
    </row>
    <row r="41" spans="1:5" x14ac:dyDescent="0.3">
      <c r="A41" s="18"/>
      <c r="B41" s="26" t="s">
        <v>151</v>
      </c>
      <c r="C41" s="27">
        <f>'Financial Statements'!B28/1000</f>
        <v>16325.819</v>
      </c>
      <c r="D41" s="27">
        <f>'Financial Statements'!C28/1000</f>
        <v>16864.919000000002</v>
      </c>
      <c r="E41" s="27">
        <f>'Financial Statements'!D28/1000</f>
        <v>17528.214</v>
      </c>
    </row>
    <row r="42" spans="1:5" x14ac:dyDescent="0.3">
      <c r="A42" s="18">
        <f>+A39+0.1</f>
        <v>5.0999999999999996</v>
      </c>
      <c r="B42" s="1" t="s">
        <v>130</v>
      </c>
      <c r="C42" s="24">
        <f>C40/'Financial Statements'!B25</f>
        <v>22.618657937806869</v>
      </c>
      <c r="D42" s="24">
        <f>D40/'Financial Statements'!C25</f>
        <v>26.188948306595361</v>
      </c>
      <c r="E42" s="24">
        <f>E40/'Financial Statements'!D25</f>
        <v>34.231707317073173</v>
      </c>
    </row>
    <row r="43" spans="1:5" x14ac:dyDescent="0.3">
      <c r="A43" s="18">
        <f>+A42+0.1</f>
        <v>5.1999999999999993</v>
      </c>
      <c r="B43" s="3" t="s">
        <v>131</v>
      </c>
      <c r="C43">
        <v>6.11</v>
      </c>
      <c r="D43">
        <v>5.61</v>
      </c>
      <c r="E43">
        <v>3.28</v>
      </c>
    </row>
    <row r="44" spans="1:5" x14ac:dyDescent="0.3">
      <c r="A44" s="18">
        <f>+A43+0.1</f>
        <v>5.2999999999999989</v>
      </c>
      <c r="B44" s="1" t="s">
        <v>132</v>
      </c>
      <c r="C44" s="18">
        <f>C40/C45</f>
        <v>44.526132495263646</v>
      </c>
      <c r="D44" s="18">
        <f t="shared" ref="D44:E44" si="2">D40/D45</f>
        <v>39.273956244729753</v>
      </c>
      <c r="E44" s="18">
        <f t="shared" si="2"/>
        <v>30.120875249391634</v>
      </c>
    </row>
    <row r="45" spans="1:5" x14ac:dyDescent="0.3">
      <c r="B45" s="3" t="s">
        <v>133</v>
      </c>
      <c r="C45" s="24">
        <f>('Financial Statements'!B48-'Financial Statements'!B62)/C41</f>
        <v>3.1037952827971451</v>
      </c>
      <c r="D45" s="24">
        <f>('Financial Statements'!C48-'Financial Statements'!C62)/D41</f>
        <v>3.740901453484597</v>
      </c>
      <c r="E45" s="24">
        <f>('Financial Statements'!D48-'Financial Statements'!D62)/E41</f>
        <v>3.7276473233382479</v>
      </c>
    </row>
    <row r="46" spans="1:5" x14ac:dyDescent="0.3">
      <c r="A46" s="18">
        <f>+A44+0.1</f>
        <v>5.3999999999999986</v>
      </c>
      <c r="B46" s="1" t="s">
        <v>134</v>
      </c>
      <c r="C46" s="24">
        <f>C47/C43</f>
        <v>0.14878083013397297</v>
      </c>
      <c r="D46" s="24">
        <f t="shared" ref="D46:E46" si="3">D47/D43</f>
        <v>0.15290840583271573</v>
      </c>
      <c r="E46" s="24">
        <f t="shared" si="3"/>
        <v>0.24491872388584765</v>
      </c>
    </row>
    <row r="47" spans="1:5" x14ac:dyDescent="0.3">
      <c r="A47" s="18">
        <f>+A46+0.1</f>
        <v>5.4999999999999982</v>
      </c>
      <c r="B47" s="3" t="s">
        <v>135</v>
      </c>
      <c r="C47" s="24">
        <f>('Financial Statements'!B102*(-1))/'List of Ratios'!C41</f>
        <v>0.90905087211857494</v>
      </c>
      <c r="D47" s="24">
        <f>('Financial Statements'!C102*(-1))/'List of Ratios'!D41</f>
        <v>0.85781615672153533</v>
      </c>
      <c r="E47" s="24">
        <f>('Financial Statements'!D102*(-1))/'List of Ratios'!E41</f>
        <v>0.80333341434558025</v>
      </c>
    </row>
    <row r="48" spans="1:5" x14ac:dyDescent="0.3">
      <c r="A48" s="18"/>
      <c r="B48" s="1" t="s">
        <v>136</v>
      </c>
      <c r="C48" s="25">
        <f>C47/C40</f>
        <v>6.5777921282096597E-3</v>
      </c>
      <c r="D48" s="25">
        <f t="shared" ref="D48:E48" si="4">D47/D40</f>
        <v>5.8386615622211778E-3</v>
      </c>
      <c r="E48" s="25">
        <f t="shared" si="4"/>
        <v>7.1547329385961899E-3</v>
      </c>
    </row>
    <row r="49" spans="1:5" x14ac:dyDescent="0.3">
      <c r="A49" s="18">
        <f>+A47+0.1</f>
        <v>5.5999999999999979</v>
      </c>
      <c r="B49" s="1" t="s">
        <v>137</v>
      </c>
      <c r="C49" s="24">
        <f>'Financial Statements'!B22/'Financial Statements'!B68</f>
        <v>1.9695887275023682</v>
      </c>
      <c r="D49" s="24">
        <f>'Financial Statements'!C22/'Financial Statements'!C68</f>
        <v>1.5007132667617689</v>
      </c>
      <c r="E49" s="24">
        <f>'Financial Statements'!D22/'Financial Statements'!D68</f>
        <v>0.87866358530127486</v>
      </c>
    </row>
    <row r="50" spans="1:5" x14ac:dyDescent="0.3">
      <c r="A50" s="18">
        <f>+A49+0.1</f>
        <v>5.6999999999999975</v>
      </c>
      <c r="B50" s="1" t="s">
        <v>138</v>
      </c>
      <c r="C50" s="24">
        <f>C21/('Financial Statements'!B48-'Financial Statements'!B56)</f>
        <v>0.61360446338285379</v>
      </c>
      <c r="D50" s="24">
        <f>D21/('Financial Statements'!C48-'Financial Statements'!C56)</f>
        <v>0.49615778574944241</v>
      </c>
      <c r="E50" s="24">
        <f>E21/('Financial Statements'!D48-'Financial Statements'!D56)</f>
        <v>0.32079763473930872</v>
      </c>
    </row>
    <row r="51" spans="1:5" x14ac:dyDescent="0.3">
      <c r="A51" s="18">
        <f>+A50+0.1</f>
        <v>5.7999999999999972</v>
      </c>
      <c r="B51" s="1" t="s">
        <v>128</v>
      </c>
      <c r="C51" s="24">
        <f>'Financial Statements'!B22/'Financial Statements'!B48</f>
        <v>0.28292440929256851</v>
      </c>
      <c r="D51" s="24">
        <f>'Financial Statements'!C22/'Financial Statements'!C48</f>
        <v>0.26974205275183616</v>
      </c>
      <c r="E51" s="24">
        <f>'Financial Statements'!D22/'Financial Statements'!D48</f>
        <v>0.1772557180259843</v>
      </c>
    </row>
    <row r="52" spans="1:5" x14ac:dyDescent="0.3">
      <c r="A52" s="18">
        <f>+A51+0.1</f>
        <v>5.8999999999999968</v>
      </c>
      <c r="B52" s="1" t="s">
        <v>139</v>
      </c>
      <c r="C52" s="24">
        <f>C53/C19</f>
        <v>19.047321643922086</v>
      </c>
      <c r="D52" s="24">
        <f t="shared" ref="D52:E52" si="5">D53/D19</f>
        <v>22.169266423224929</v>
      </c>
      <c r="E52" s="24">
        <f t="shared" si="5"/>
        <v>26.970152040320894</v>
      </c>
    </row>
    <row r="53" spans="1:5" x14ac:dyDescent="0.3">
      <c r="A53" s="18"/>
      <c r="B53" s="3" t="s">
        <v>140</v>
      </c>
      <c r="C53" s="24">
        <f>(C40*C41)+'Financial Statements'!B62-'Financial Statements'!B36</f>
        <v>2534665.1857999996</v>
      </c>
      <c r="D53" s="24">
        <f>(D40*D41)+'Financial Statements'!C62-'Financial Statements'!C36</f>
        <v>2730765.8994800001</v>
      </c>
      <c r="E53" s="24">
        <f>(E40*E41)+'Financial Statements'!D62-'Financial Statements'!D36</f>
        <v>2188600.8679200001</v>
      </c>
    </row>
    <row r="55" spans="1:5" x14ac:dyDescent="0.3">
      <c r="A55" s="18">
        <f>+A39+1</f>
        <v>6</v>
      </c>
      <c r="B55" s="17" t="s">
        <v>152</v>
      </c>
    </row>
    <row r="56" spans="1:5" x14ac:dyDescent="0.3">
      <c r="B56" s="1" t="s">
        <v>153</v>
      </c>
      <c r="C56" s="25">
        <f>'Financial Statements'!B6/'Financial Statements'!C6-1</f>
        <v>6.3239764351428418E-2</v>
      </c>
      <c r="D56" s="25">
        <f>'Financial Statements'!C6/'Financial Statements'!D6-1</f>
        <v>0.34720743656765429</v>
      </c>
      <c r="E56" s="24"/>
    </row>
    <row r="57" spans="1:5" x14ac:dyDescent="0.3">
      <c r="B57" s="1" t="s">
        <v>154</v>
      </c>
      <c r="C57" s="25">
        <f>'Financial Statements'!B7/'Financial Statements'!C7-1</f>
        <v>0.14181951041286078</v>
      </c>
      <c r="D57" s="25">
        <f>'Financial Statements'!C7/'Financial Statements'!D7-1</f>
        <v>0.27259708376729663</v>
      </c>
    </row>
    <row r="58" spans="1:5" x14ac:dyDescent="0.3">
      <c r="B58" s="1" t="s">
        <v>155</v>
      </c>
      <c r="C58" s="25">
        <f>'Financial Statements'!B8/'Financial Statements'!C8-1</f>
        <v>7.7937876041846099E-2</v>
      </c>
      <c r="D58" s="25">
        <f>'Financial Statements'!C8/'Financial Statements'!D8-1</f>
        <v>0.33259384733074704</v>
      </c>
    </row>
    <row r="59" spans="1:5" x14ac:dyDescent="0.3">
      <c r="B59" s="1" t="s">
        <v>156</v>
      </c>
      <c r="C59" s="25">
        <f>'Financial Statements'!B13/'Financial Statements'!C13-1</f>
        <v>0.1174199795859614</v>
      </c>
      <c r="D59" s="25">
        <f>'Financial Statements'!C13/'Financial Statements'!D13-1</f>
        <v>0.45619116582186825</v>
      </c>
    </row>
    <row r="60" spans="1:5" x14ac:dyDescent="0.3">
      <c r="B60" s="1" t="s">
        <v>11</v>
      </c>
      <c r="C60" s="25">
        <f>'Financial Statements'!B15/'Financial Statements'!C15-1</f>
        <v>0.19791001186456136</v>
      </c>
      <c r="D60" s="25">
        <f>'Financial Statements'!C15/'Financial Statements'!D15-1</f>
        <v>0.16862201365187723</v>
      </c>
    </row>
    <row r="61" spans="1:5" x14ac:dyDescent="0.3">
      <c r="B61" s="1" t="s">
        <v>12</v>
      </c>
      <c r="C61" s="25">
        <f>'Financial Statements'!B16/'Financial Statements'!C16-1</f>
        <v>0.14203795567287125</v>
      </c>
      <c r="D61" s="25">
        <f>'Financial Statements'!C16/'Financial Statements'!D16-1</f>
        <v>0.10328379192608961</v>
      </c>
    </row>
    <row r="62" spans="1:5" x14ac:dyDescent="0.3">
      <c r="B62" s="1" t="s">
        <v>13</v>
      </c>
      <c r="C62" s="25">
        <f>'Financial Statements'!B17/'Financial Statements'!C17-1</f>
        <v>0.16993642764372141</v>
      </c>
      <c r="D62" s="25">
        <f>'Financial Statements'!C17/'Financial Statements'!D17-1</f>
        <v>0.13496948381090301</v>
      </c>
    </row>
    <row r="63" spans="1:5" x14ac:dyDescent="0.3">
      <c r="B63" s="1" t="s">
        <v>31</v>
      </c>
      <c r="C63" s="25">
        <f>'Financial Statements'!B42/'Financial Statements'!C42-1</f>
        <v>4.2199412619774446E-3</v>
      </c>
      <c r="D63" s="25">
        <f>'Financial Statements'!C42/'Financial Statements'!D42-1</f>
        <v>-6.1768942266879123E-2</v>
      </c>
    </row>
    <row r="64" spans="1:5" x14ac:dyDescent="0.3">
      <c r="B64" t="s">
        <v>50</v>
      </c>
      <c r="C64" s="25">
        <f>'Financial Statements'!B47/'Financial Statements'!C47-1</f>
        <v>5.477272096444441E-3</v>
      </c>
      <c r="D64" s="25">
        <f>'Financial Statements'!C47/'Financial Statements'!D47-1</f>
        <v>0.19975579297904811</v>
      </c>
    </row>
    <row r="65" spans="2:4" x14ac:dyDescent="0.3">
      <c r="B65" t="s">
        <v>33</v>
      </c>
      <c r="C65" s="25">
        <f>'Financial Statements'!B48/'Financial Statements'!C48-1</f>
        <v>4.994273536902849E-3</v>
      </c>
      <c r="D65" s="25">
        <f>'Financial Statements'!C48/'Financial Statements'!D48-1</f>
        <v>8.3714123400681739E-2</v>
      </c>
    </row>
    <row r="66" spans="2:4" x14ac:dyDescent="0.3">
      <c r="B66" t="s">
        <v>40</v>
      </c>
      <c r="C66" s="25">
        <f>'Financial Statements'!B56/'Financial Statements'!C56-1</f>
        <v>0.22713398841258825</v>
      </c>
      <c r="D66" s="25">
        <f>'Financial Statements'!C56/'Financial Statements'!D56-1</f>
        <v>0.19061219067860935</v>
      </c>
    </row>
    <row r="67" spans="2:4" x14ac:dyDescent="0.3">
      <c r="B67" t="s">
        <v>53</v>
      </c>
      <c r="C67" s="25">
        <f>'Financial Statements'!B61/'Financial Statements'!C61-1</f>
        <v>-8.8222075835277747E-2</v>
      </c>
      <c r="D67" s="25">
        <f>'Financial Statements'!C61/'Financial Statements'!D61-1</f>
        <v>6.0552243775994663E-2</v>
      </c>
    </row>
    <row r="68" spans="2:4" x14ac:dyDescent="0.3">
      <c r="B68" t="s">
        <v>41</v>
      </c>
      <c r="C68" s="25">
        <f>'Financial Statements'!B62/'Financial Statements'!C62-1</f>
        <v>4.9219900525160565E-2</v>
      </c>
      <c r="D68" s="25">
        <f>'Financial Statements'!C62/'Financial Statements'!D62-1</f>
        <v>0.11356841449783217</v>
      </c>
    </row>
    <row r="69" spans="2:4" x14ac:dyDescent="0.3">
      <c r="B69" t="s">
        <v>45</v>
      </c>
      <c r="C69" s="25">
        <f>'Financial Statements'!B68/'Financial Statements'!C68-1</f>
        <v>-0.19682992550324929</v>
      </c>
      <c r="D69" s="25">
        <f>'Financial Statements'!C68/'Financial Statements'!D68-1</f>
        <v>-3.4420483937617652E-2</v>
      </c>
    </row>
    <row r="70" spans="2:4" x14ac:dyDescent="0.3">
      <c r="B70" t="s">
        <v>46</v>
      </c>
      <c r="C70" s="25">
        <f>'Financial Statements'!B69/'Financial Statements'!C69-1</f>
        <v>4.994273536902849E-3</v>
      </c>
      <c r="D70" s="25">
        <f>'Financial Statements'!C69/'Financial Statements'!D69-1</f>
        <v>8.3714123400681739E-2</v>
      </c>
    </row>
    <row r="71" spans="2:4" x14ac:dyDescent="0.3">
      <c r="C71" s="25"/>
      <c r="D71" s="25"/>
    </row>
    <row r="72" spans="2:4" x14ac:dyDescent="0.3">
      <c r="B72" s="17" t="s">
        <v>158</v>
      </c>
    </row>
    <row r="73" spans="2:4" x14ac:dyDescent="0.3">
      <c r="B73" t="s">
        <v>157</v>
      </c>
      <c r="C73" s="25">
        <f>'Financial Statements'!B12/'Financial Statements'!B8</f>
        <v>0.56690369438639909</v>
      </c>
      <c r="D73" s="25">
        <f>'Financial Statements'!C12/'Financial Statements'!C8</f>
        <v>0.58220640374832222</v>
      </c>
    </row>
    <row r="74" spans="2:4" x14ac:dyDescent="0.3">
      <c r="B74" t="s">
        <v>159</v>
      </c>
      <c r="C74" s="25">
        <f>'Financial Statements'!B13/'Financial Statements'!B8</f>
        <v>0.43309630561360085</v>
      </c>
      <c r="D74" s="25">
        <f>'Financial Statements'!C13/'Financial Statements'!C8</f>
        <v>0.41779359625167778</v>
      </c>
    </row>
    <row r="75" spans="2:4" x14ac:dyDescent="0.3">
      <c r="B75" t="s">
        <v>11</v>
      </c>
      <c r="C75" s="25">
        <f>'Financial Statements'!B15/'Financial Statements'!B8</f>
        <v>6.657148363798665E-2</v>
      </c>
      <c r="D75" s="25">
        <f>'Financial Statements'!C15/'Financial Statements'!C8</f>
        <v>5.9904269074427925E-2</v>
      </c>
    </row>
    <row r="76" spans="2:4" x14ac:dyDescent="0.3">
      <c r="B76" t="s">
        <v>12</v>
      </c>
      <c r="C76" s="25">
        <f>'Financial Statements'!B16/'Financial Statements'!B8</f>
        <v>6.3637378020328261E-2</v>
      </c>
      <c r="D76" s="25">
        <f>'Financial Statements'!C16/'Financial Statements'!C8</f>
        <v>6.006555190163388E-2</v>
      </c>
    </row>
    <row r="77" spans="2:4" x14ac:dyDescent="0.3">
      <c r="B77" t="s">
        <v>13</v>
      </c>
      <c r="C77" s="25">
        <f>'Financial Statements'!B17/'Financial Statements'!B8</f>
        <v>0.13020886165831491</v>
      </c>
      <c r="D77" s="25">
        <f>'Financial Statements'!C17/'Financial Statements'!C8</f>
        <v>0.11996982097606181</v>
      </c>
    </row>
    <row r="78" spans="2:4" x14ac:dyDescent="0.3">
      <c r="B78" t="s">
        <v>14</v>
      </c>
      <c r="C78" s="25">
        <f>'Financial Statements'!B18/'Financial Statements'!B8</f>
        <v>0.30288744395528594</v>
      </c>
      <c r="D78" s="25">
        <f>'Financial Statements'!C18/'Financial Statements'!C8</f>
        <v>0.29782377527561593</v>
      </c>
    </row>
    <row r="79" spans="2:4" x14ac:dyDescent="0.3">
      <c r="B79" t="s">
        <v>93</v>
      </c>
      <c r="C79" s="25">
        <f>'Financial Statements'!B22/'Financial Statements'!B8</f>
        <v>0.25309640705199732</v>
      </c>
      <c r="D79" s="25">
        <f>'Financial Statements'!C22/'Financial Statements'!C8</f>
        <v>0.25881793355694238</v>
      </c>
    </row>
    <row r="81" spans="2:4" x14ac:dyDescent="0.3">
      <c r="B81" t="s">
        <v>94</v>
      </c>
      <c r="C81" s="25">
        <f>'Financial Statements'!B113/'Financial Statements'!B20</f>
        <v>0.1643367505436471</v>
      </c>
      <c r="D81" s="25">
        <f>'Financial Statements'!C113/'Financial Statements'!C20</f>
        <v>0.23244846942045841</v>
      </c>
    </row>
    <row r="82" spans="2:4" x14ac:dyDescent="0.3">
      <c r="B82" t="s">
        <v>160</v>
      </c>
      <c r="C82" s="24">
        <f>'Financial Statements'!B45-'Financial Statements'!C45+'Financial Statements'!B79</f>
        <v>13781</v>
      </c>
      <c r="D82" s="24">
        <f>'Financial Statements'!C45-'Financial Statements'!D45+'Financial Statements'!C79</f>
        <v>13958</v>
      </c>
    </row>
    <row r="83" spans="2:4" x14ac:dyDescent="0.3">
      <c r="B83" t="s">
        <v>95</v>
      </c>
      <c r="C83" s="25">
        <f>C82/'Financial Statements'!B8</f>
        <v>3.4948063541011543E-2</v>
      </c>
      <c r="D83" s="25">
        <f>D82/'Financial Statements'!C8</f>
        <v>3.8155689866791319E-2</v>
      </c>
    </row>
    <row r="84" spans="2:4" x14ac:dyDescent="0.3">
      <c r="B84" t="s">
        <v>96</v>
      </c>
      <c r="C84" s="25">
        <f>C82/'Financial Statements'!B47</f>
        <v>6.3404646882907756E-2</v>
      </c>
      <c r="D84" s="25">
        <f>D82/'Financial Statements'!C47</f>
        <v>6.4570746555887598E-2</v>
      </c>
    </row>
  </sheetData>
  <mergeCells count="1">
    <mergeCell ref="C2:E2"/>
  </mergeCells>
  <pageMargins left="0.7" right="0.7" top="0.75" bottom="0.75" header="0.3" footer="0.3"/>
  <pageSetup orientation="portrait" horizontalDpi="1200" verticalDpi="1200" r:id="rId1"/>
  <ignoredErrors>
    <ignoredError sqref="C19:E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Naureen</cp:lastModifiedBy>
  <dcterms:created xsi:type="dcterms:W3CDTF">2020-05-18T16:32:37Z</dcterms:created>
  <dcterms:modified xsi:type="dcterms:W3CDTF">2024-09-13T00:56:09Z</dcterms:modified>
</cp:coreProperties>
</file>