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8F43AB0-3F8D-495B-9412-DFD463456E0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50" i="3"/>
  <c r="E50" i="3"/>
  <c r="C50" i="3"/>
  <c r="D51" i="3"/>
  <c r="E51" i="3"/>
  <c r="C51" i="3"/>
  <c r="D48" i="3"/>
  <c r="E48" i="3"/>
  <c r="C48" i="3"/>
  <c r="D47" i="3"/>
  <c r="E47" i="3"/>
  <c r="C47" i="3"/>
  <c r="D46" i="3"/>
  <c r="E46" i="3"/>
  <c r="C46" i="3"/>
  <c r="D45" i="3"/>
  <c r="E45" i="3"/>
  <c r="C45" i="3"/>
  <c r="D44" i="3"/>
  <c r="E44" i="3"/>
  <c r="C44" i="3"/>
  <c r="D43" i="3"/>
  <c r="E43" i="3"/>
  <c r="C43" i="3"/>
  <c r="D42" i="3"/>
  <c r="E42" i="3"/>
  <c r="C42" i="3"/>
  <c r="D41" i="3"/>
  <c r="E41" i="3"/>
  <c r="C41" i="3"/>
  <c r="D40" i="3"/>
  <c r="E40" i="3"/>
  <c r="C40" i="3"/>
  <c r="A49" i="3"/>
  <c r="A47" i="3"/>
  <c r="A24" i="3"/>
  <c r="A25" i="3" s="1"/>
  <c r="A26" i="3" s="1"/>
  <c r="A27" i="3" s="1"/>
  <c r="A28" i="3" s="1"/>
  <c r="A29" i="3" s="1"/>
  <c r="A30" i="3" s="1"/>
  <c r="A18" i="3"/>
  <c r="A20" i="3" s="1"/>
  <c r="A22" i="3" s="1"/>
  <c r="A17" i="3"/>
  <c r="A16" i="3"/>
  <c r="A5" i="3"/>
  <c r="A6" i="3" s="1"/>
  <c r="A7" i="3" s="1"/>
  <c r="A8" i="3" s="1"/>
  <c r="A9" i="3" s="1"/>
  <c r="A10" i="3" s="1"/>
  <c r="A11" i="3" s="1"/>
  <c r="A12" i="3" s="1"/>
  <c r="A13" i="3" s="1"/>
  <c r="E3" i="3"/>
  <c r="D3" i="3"/>
  <c r="C3" i="3"/>
  <c r="D109" i="1"/>
  <c r="C109" i="1"/>
  <c r="B109" i="1"/>
  <c r="D100" i="1"/>
  <c r="C100" i="1"/>
  <c r="B100" i="1"/>
  <c r="D69" i="1"/>
  <c r="C69" i="1"/>
  <c r="D27" i="3" s="1"/>
  <c r="B69" i="1"/>
  <c r="B70" i="1" s="1"/>
  <c r="C63" i="1"/>
  <c r="B63" i="1"/>
  <c r="D62" i="1"/>
  <c r="E27" i="3" s="1"/>
  <c r="C62" i="1"/>
  <c r="B62" i="1"/>
  <c r="C26" i="3" s="1"/>
  <c r="D57" i="1"/>
  <c r="E6" i="3" s="1"/>
  <c r="C57" i="1"/>
  <c r="D6" i="3" s="1"/>
  <c r="B57" i="1"/>
  <c r="C7" i="3" s="1"/>
  <c r="C49" i="1"/>
  <c r="D26" i="3" s="1"/>
  <c r="B49" i="1"/>
  <c r="D48" i="1"/>
  <c r="D49" i="1" s="1"/>
  <c r="C48" i="1"/>
  <c r="B48" i="1"/>
  <c r="C35" i="3" s="1"/>
  <c r="D43" i="1"/>
  <c r="E5" i="3" s="1"/>
  <c r="C43" i="1"/>
  <c r="D14" i="3" s="1"/>
  <c r="D13" i="3" s="1"/>
  <c r="B43" i="1"/>
  <c r="C14" i="3" s="1"/>
  <c r="C13" i="3" s="1"/>
  <c r="D34" i="1"/>
  <c r="D74" i="1" s="1"/>
  <c r="C34" i="1"/>
  <c r="C74" i="1" s="1"/>
  <c r="B34" i="1"/>
  <c r="B74" i="1" s="1"/>
  <c r="D17" i="1"/>
  <c r="E8" i="3" s="1"/>
  <c r="C17" i="1"/>
  <c r="D8" i="3" s="1"/>
  <c r="B17" i="1"/>
  <c r="C8" i="3" s="1"/>
  <c r="C13" i="1"/>
  <c r="C18" i="1" s="1"/>
  <c r="C20" i="1" s="1"/>
  <c r="C22" i="1" s="1"/>
  <c r="C77" i="1" s="1"/>
  <c r="C92" i="1" s="1"/>
  <c r="C110" i="1" s="1"/>
  <c r="B13" i="1"/>
  <c r="B18" i="1" s="1"/>
  <c r="B20" i="1" s="1"/>
  <c r="B22" i="1" s="1"/>
  <c r="B77" i="1" s="1"/>
  <c r="B92" i="1" s="1"/>
  <c r="C31" i="3" s="1"/>
  <c r="D12" i="1"/>
  <c r="E10" i="3" s="1"/>
  <c r="C12" i="1"/>
  <c r="D9" i="3" s="1"/>
  <c r="B12" i="1"/>
  <c r="C10" i="3" s="1"/>
  <c r="D8" i="1"/>
  <c r="E35" i="3" s="1"/>
  <c r="C8" i="1"/>
  <c r="D11" i="3" s="1"/>
  <c r="B8" i="1"/>
  <c r="C11" i="3" s="1"/>
  <c r="D12" i="3" l="1"/>
  <c r="C70" i="1"/>
  <c r="C17" i="3"/>
  <c r="C36" i="3"/>
  <c r="D10" i="3"/>
  <c r="D5" i="3"/>
  <c r="C18" i="3"/>
  <c r="D36" i="3"/>
  <c r="D21" i="3"/>
  <c r="D17" i="3"/>
  <c r="E9" i="3"/>
  <c r="D29" i="3"/>
  <c r="C5" i="3"/>
  <c r="C19" i="3"/>
  <c r="C34" i="3"/>
  <c r="E36" i="3"/>
  <c r="E26" i="3"/>
  <c r="C49" i="3"/>
  <c r="B110" i="1"/>
  <c r="C6" i="3"/>
  <c r="C20" i="3"/>
  <c r="D34" i="3"/>
  <c r="C37" i="3"/>
  <c r="D20" i="3"/>
  <c r="E7" i="3"/>
  <c r="D13" i="1"/>
  <c r="C21" i="3"/>
  <c r="E34" i="3"/>
  <c r="D37" i="3"/>
  <c r="E25" i="3"/>
  <c r="D7" i="3"/>
  <c r="C27" i="3"/>
  <c r="D49" i="3"/>
  <c r="C9" i="3"/>
  <c r="C12" i="3" s="1"/>
  <c r="C22" i="3"/>
  <c r="D25" i="3"/>
  <c r="D19" i="3"/>
  <c r="E11" i="3"/>
  <c r="C25" i="3"/>
  <c r="D35" i="3"/>
  <c r="E14" i="3"/>
  <c r="E13" i="3" s="1"/>
  <c r="D63" i="1"/>
  <c r="D70" i="1" s="1"/>
  <c r="D31" i="3"/>
  <c r="D22" i="3"/>
  <c r="D18" i="3"/>
  <c r="C29" i="3"/>
  <c r="A33" i="3"/>
  <c r="E12" i="3" l="1"/>
  <c r="E17" i="3"/>
  <c r="D18" i="1"/>
  <c r="D20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D22" i="1" l="1"/>
  <c r="E18" i="3"/>
  <c r="E19" i="3"/>
  <c r="E20" i="3"/>
  <c r="E29" i="3"/>
  <c r="E21" i="3"/>
  <c r="D77" i="1" l="1"/>
  <c r="D92" i="1" s="1"/>
  <c r="E22" i="3"/>
  <c r="E37" i="3"/>
  <c r="E49" i="3"/>
  <c r="D110" i="1" l="1"/>
  <c r="E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tc={A32B60EF-7748-4B90-A249-F77242481A73}</author>
    <author>tc={481FCAF6-F4C7-4D69-9653-0A211DC7ABAA}</author>
    <author>tc={52ED5C8F-97C2-4503-B1FA-2338882B1AE7}</author>
    <author>tc={4D0CB623-FEB5-4B4E-9B27-C9B264CD5B51}</author>
    <author>tc={43E8588E-6096-4C7D-840D-E6BED100E6C8}</author>
    <author>tc={72F8AB40-0C8C-48DF-8727-01D0188DE758}</author>
    <author>tc={B230BAC8-A935-43F5-B956-02DE2F0A1402}</author>
    <author>tc={EB87A414-5A48-4244-AA62-81A57E0128CA}</author>
    <author>tc={CAEE787E-9E19-48EC-930A-3016AD7A505E}</author>
    <author>tc={204C3D68-4E9D-4FE1-9DF7-7216D32DA027}</author>
    <author>tc={099D6AB5-66FE-4B67-90DE-AE9EF3CF1EB5}</author>
    <author>tc={73205026-1ADC-45AC-8B5E-4B2C1B1D2994}</author>
    <author>tc={5450AAA6-8FF2-4D5C-9585-0BC5C18BFC51}</author>
    <author>tc={38FE2D13-8B03-40A1-A31E-35D481E43CB7}</author>
    <author>tc={0BDDB42D-0ABD-4F25-BA8F-B3E9AA01821F}</author>
    <author>tc={7B74E8D5-F076-4CC2-B29E-27EE730ED5DF}</author>
    <author>tc={B3B29A10-8EDA-4367-A38E-DB74546A58E0}</author>
    <author>tc={2DF2E287-9E77-4D4E-AFA7-3579CF50AC02}</author>
    <author>tc={7492EF5F-A513-4D4B-ACF8-6BA83601C60C}</author>
    <author>tc={3707ACCB-EE01-4D07-8F82-6CD4F6E0BB1C}</author>
    <author>tc={6E44CE47-6DA2-474C-998E-CD5B736592F3}</author>
    <author>tc={76F5407B-D724-4B5A-9D5F-31C4426F0B9D}</author>
    <author>tc={72A1AA78-3AA8-4AEC-8FEB-13AA74DF0661}</author>
    <author>tc={601F6B80-1E66-40A8-BA56-D9ECBB9D5840}</author>
    <author>tc={FDD15EDA-32FA-489D-AC48-6923C0F508D9}</author>
    <author>tc={A634C0A0-563C-4FD3-AF75-FF116E75E76B}</author>
    <author>tc={D339A80B-73D2-4275-8A95-7917AE5FC1D7}</author>
    <author>tc={82260277-29EC-4ACD-8EDF-2AD59C83C5EB}</author>
    <author>tc={8B423DE2-4B96-4961-8361-C5466383851E}</author>
    <author>tc={71CCEC95-5408-418A-8FB8-ACD616A4BCFF}</author>
    <author>tc={76846652-909B-4467-811D-37748882B2FD}</author>
    <author>tc={B4F34063-E377-453D-9FE4-5553B52ACE9F}</author>
    <author>tc={077B168E-BC4D-4C52-96AD-A6FD0A047B69}</author>
    <author>tc={7CE1B353-CE75-4CD1-8BDA-F32D420E83F3}</author>
  </authors>
  <commentList>
    <comment ref="B5" authorId="0" shapeId="0" xr:uid="{A32B60EF-7748-4B90-A249-F77242481A73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 assets/current liabilities</t>
      </text>
    </comment>
    <comment ref="B6" authorId="1" shapeId="0" xr:uid="{481FCAF6-F4C7-4D69-9653-0A211DC7ABAA}">
      <text>
        <t>[Threaded comment]
Your version of Excel allows you to read this threaded comment; however, any edits to it will get removed if the file is opened in a newer version of Excel. Learn more: https://go.microsoft.com/fwlink/?linkid=870924
Comment:
    (Cash + short term marketable securities + receivables) / Current liabilities</t>
      </text>
    </comment>
    <comment ref="B7" authorId="2" shapeId="0" xr:uid="{52ED5C8F-97C2-4503-B1FA-2338882B1AE7}">
      <text>
        <t>[Threaded comment]
Your version of Excel allows you to read this threaded comment; however, any edits to it will get removed if the file is opened in a newer version of Excel. Learn more: https://go.microsoft.com/fwlink/?linkid=870924
Comment:
    (Cash + short term marketable securities) / Current liabilities</t>
      </text>
    </comment>
    <comment ref="B8" authorId="3" shapeId="0" xr:uid="{4D0CB623-FEB5-4B4E-9B27-C9B264CD5B51}">
      <text>
        <t>[Threaded comment]
Your version of Excel allows you to read this threaded comment; however, any edits to it will get removed if the file is opened in a newer version of Excel. Learn more: https://go.microsoft.com/fwlink/?linkid=870924
Comment:
    (Cash + short term marketable securities + receivables) / Daily cash expenditures
Daily cash expenditures = operating expenses / Days in period</t>
      </text>
    </comment>
    <comment ref="B9" authorId="4" shapeId="0" xr:uid="{43E8588E-6096-4C7D-840D-E6BED100E6C8}">
      <text>
        <t>[Threaded comment]
Your version of Excel allows you to read this threaded comment; however, any edits to it will get removed if the file is opened in a newer version of Excel. Learn more: https://go.microsoft.com/fwlink/?linkid=870924
Comment:
    Inventory / COGS * Days in period</t>
      </text>
    </comment>
    <comment ref="B10" authorId="5" shapeId="0" xr:uid="{72F8AB40-0C8C-48DF-8727-01D0188DE758}">
      <text>
        <t>[Threaded comment]
Your version of Excel allows you to read this threaded comment; however, any edits to it will get removed if the file is opened in a newer version of Excel. Learn more: https://go.microsoft.com/fwlink/?linkid=870924
Comment:
    Accounts payable / COGS * Days in period</t>
      </text>
    </comment>
    <comment ref="B11" authorId="6" shapeId="0" xr:uid="{B230BAC8-A935-43F5-B956-02DE2F0A1402}">
      <text>
        <t>[Threaded comment]
Your version of Excel allows you to read this threaded comment; however, any edits to it will get removed if the file is opened in a newer version of Excel. Learn more: https://go.microsoft.com/fwlink/?linkid=870924
Comment:
    Accounts receivable / Turnover * Days in period</t>
      </text>
    </comment>
    <comment ref="B12" authorId="7" shapeId="0" xr:uid="{EB87A414-5A48-4244-AA62-81A57E0128CA}">
      <text>
        <t>[Threaded comment]
Your version of Excel allows you to read this threaded comment; however, any edits to it will get removed if the file is opened in a newer version of Excel. Learn more: https://go.microsoft.com/fwlink/?linkid=870924
Comment:
    DSO + DOH - DPO</t>
      </text>
    </comment>
    <comment ref="B14" authorId="8" shapeId="0" xr:uid="{CAEE787E-9E19-48EC-930A-3016AD7A505E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 assets (less cash) - Current liabilities (less debt)</t>
      </text>
    </comment>
    <comment ref="B17" authorId="9" shapeId="0" xr:uid="{204C3D68-4E9D-4FE1-9DF7-7216D32DA027}">
      <text>
        <t>[Threaded comment]
Your version of Excel allows you to read this threaded comment; however, any edits to it will get removed if the file is opened in a newer version of Excel. Learn more: https://go.microsoft.com/fwlink/?linkid=870924
Comment:
    Gross profit / Turnover</t>
      </text>
    </comment>
    <comment ref="B18" authorId="10" shapeId="0" xr:uid="{099D6AB5-66FE-4B67-90DE-AE9EF3CF1EB5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EBITDA / Turnover</t>
      </text>
    </comment>
    <comment ref="B20" authorId="11" shapeId="0" xr:uid="{73205026-1ADC-45AC-8B5E-4B2C1B1D2994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 / Turnover</t>
      </text>
    </comment>
    <comment ref="B22" authorId="12" shapeId="0" xr:uid="{5450AAA6-8FF2-4D5C-9585-0BC5C18BFC51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Turnover</t>
      </text>
    </comment>
    <comment ref="B25" authorId="13" shapeId="0" xr:uid="{38FE2D13-8B03-40A1-A31E-35D481E43CB7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debt (interest bearing) / Total shareholders equity</t>
      </text>
    </comment>
    <comment ref="B26" authorId="14" shapeId="0" xr:uid="{0BDDB42D-0ABD-4F25-BA8F-B3E9AA01821F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debt (interest bearing) / Total assets</t>
      </text>
    </comment>
    <comment ref="B27" authorId="15" shapeId="0" xr:uid="{7B74E8D5-F076-4CC2-B29E-27EE730ED5DF}">
      <text>
        <t>[Threaded comment]
Your version of Excel allows you to read this threaded comment; however, any edits to it will get removed if the file is opened in a newer version of Excel. Learn more: https://go.microsoft.com/fwlink/?linkid=870924
Comment:
    Long-term debt / Total capital</t>
      </text>
    </comment>
    <comment ref="B28" authorId="16" shapeId="0" xr:uid="{B3B29A10-8EDA-4367-A38E-DB74546A58E0}">
      <text>
        <t>[Threaded comment]
Your version of Excel allows you to read this threaded comment; however, any edits to it will get removed if the file is opened in a newer version of Excel. Learn more: https://go.microsoft.com/fwlink/?linkid=870924
Comment:
    Operating income / interest expense</t>
      </text>
    </comment>
    <comment ref="B29" authorId="17" shapeId="0" xr:uid="{2DF2E287-9E77-4D4E-AFA7-3579CF50AC02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EBITDA / (Principal + interest payments)</t>
      </text>
    </comment>
    <comment ref="B30" authorId="18" shapeId="0" xr:uid="{7492EF5F-A513-4D4B-ACF8-6BA83601C60C}">
      <text>
        <t>[Threaded comment]
Your version of Excel allows you to read this threaded comment; however, any edits to it will get removed if the file is opened in a newer version of Excel. Learn more: https://go.microsoft.com/fwlink/?linkid=870924
Comment:
    FCFE / No. of shares outstanding</t>
      </text>
    </comment>
    <comment ref="B31" authorId="19" shapeId="0" xr:uid="{3707ACCB-EE01-4D07-8F82-6CD4F6E0BB1C}">
      <text>
        <t>[Threaded comment]
Your version of Excel allows you to read this threaded comment; however, any edits to it will get removed if the file is opened in a newer version of Excel. Learn more: https://go.microsoft.com/fwlink/?linkid=870924
Comment:
    Cash flow from operations - Fixed capital investment - Net borrowing
Net borrowing = Drawdowns -  Repayments (of long term debt)</t>
      </text>
    </comment>
    <comment ref="B34" authorId="20" shapeId="0" xr:uid="{6E44CE47-6DA2-474C-998E-CD5B736592F3}">
      <text>
        <t>[Threaded comment]
Your version of Excel allows you to read this threaded comment; however, any edits to it will get removed if the file is opened in a newer version of Excel. Learn more: https://go.microsoft.com/fwlink/?linkid=870924
Comment:
    Revenue / Average total assets</t>
      </text>
    </comment>
    <comment ref="B35" authorId="21" shapeId="0" xr:uid="{76F5407B-D724-4B5A-9D5F-31C4426F0B9D}">
      <text>
        <t>[Threaded comment]
Your version of Excel allows you to read this threaded comment; however, any edits to it will get removed if the file is opened in a newer version of Excel. Learn more: https://go.microsoft.com/fwlink/?linkid=870924
Comment:
    Revenue / Average fixed assets</t>
      </text>
    </comment>
    <comment ref="B36" authorId="22" shapeId="0" xr:uid="{72A1AA78-3AA8-4AEC-8FEB-13AA74DF0661}">
      <text>
        <t>[Threaded comment]
Your version of Excel allows you to read this threaded comment; however, any edits to it will get removed if the file is opened in a newer version of Excel. Learn more: https://go.microsoft.com/fwlink/?linkid=870924
Comment:
    COGS / Average inventory</t>
      </text>
    </comment>
    <comment ref="B37" authorId="23" shapeId="0" xr:uid="{601F6B80-1E66-40A8-BA56-D9ECBB9D5840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Average total assets</t>
      </text>
    </comment>
    <comment ref="B40" authorId="24" shapeId="0" xr:uid="{FDD15EDA-32FA-489D-AC48-6923C0F508D9}">
      <text>
        <t>[Threaded comment]
Your version of Excel allows you to read this threaded comment; however, any edits to it will get removed if the file is opened in a newer version of Excel. Learn more: https://go.microsoft.com/fwlink/?linkid=870924
Comment:
    Price / EPS</t>
      </text>
    </comment>
    <comment ref="B41" authorId="25" shapeId="0" xr:uid="{A634C0A0-563C-4FD3-AF75-FF116E75E76B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average shares outstanding</t>
      </text>
    </comment>
    <comment ref="B42" authorId="26" shapeId="0" xr:uid="{D339A80B-73D2-4275-8A95-7917AE5FC1D7}">
      <text>
        <t>[Threaded comment]
Your version of Excel allows you to read this threaded comment; however, any edits to it will get removed if the file is opened in a newer version of Excel. Learn more: https://go.microsoft.com/fwlink/?linkid=870924
Comment:
    Market capitalisation / Book value of equity</t>
      </text>
    </comment>
    <comment ref="B43" authorId="27" shapeId="0" xr:uid="{82260277-29EC-4ACD-8EDF-2AD59C83C5EB}">
      <text>
        <t>[Threaded comment]
Your version of Excel allows you to read this threaded comment; however, any edits to it will get removed if the file is opened in a newer version of Excel. Learn more: https://go.microsoft.com/fwlink/?linkid=870924
Comment:
    Book value of equity / No. of shares outstanding</t>
      </text>
    </comment>
    <comment ref="B44" authorId="28" shapeId="0" xr:uid="{8B423DE2-4B96-4961-8361-C5466383851E}">
      <text>
        <t>[Threaded comment]
Your version of Excel allows you to read this threaded comment; however, any edits to it will get removed if the file is opened in a newer version of Excel. Learn more: https://go.microsoft.com/fwlink/?linkid=870924
Comment:
    Dividends paid / Net income</t>
      </text>
    </comment>
    <comment ref="B46" authorId="29" shapeId="0" xr:uid="{71CCEC95-5408-418A-8FB8-ACD616A4BCFF}">
      <text>
        <t>[Threaded comment]
Your version of Excel allows you to read this threaded comment; however, any edits to it will get removed if the file is opened in a newer version of Excel. Learn more: https://go.microsoft.com/fwlink/?linkid=870924
Comment:
    Dividend per share / Share price</t>
      </text>
    </comment>
    <comment ref="B47" authorId="30" shapeId="0" xr:uid="{76846652-909B-4467-811D-37748882B2FD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Total shareholders equity</t>
      </text>
    </comment>
    <comment ref="B48" authorId="31" shapeId="0" xr:uid="{B4F34063-E377-453D-9FE4-5553B52ACE9F}">
      <text>
        <t>[Threaded comment]
Your version of Excel allows you to read this threaded comment; however, any edits to it will get removed if the file is opened in a newer version of Excel. Learn more: https://go.microsoft.com/fwlink/?linkid=870924
Comment:
    Operating profit / capital employed</t>
      </text>
    </comment>
    <comment ref="B49" authorId="32" shapeId="0" xr:uid="{077B168E-BC4D-4C52-96AD-A6FD0A047B69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Average total assets</t>
      </text>
    </comment>
    <comment ref="B51" authorId="33" shapeId="0" xr:uid="{7CE1B353-CE75-4CD1-8BDA-F32D420E83F3}">
      <text>
        <t>[Threaded comment]
Your version of Excel allows you to read this threaded comment; however, any edits to it will get removed if the file is opened in a newer version of Excel. Learn more: https://go.microsoft.com/fwlink/?linkid=870924
Comment:
    Market capitalisation + market value of debt - cash</t>
      </text>
    </comment>
  </commentList>
</comments>
</file>

<file path=xl/sharedStrings.xml><?xml version="1.0" encoding="utf-8"?>
<sst xmlns="http://schemas.openxmlformats.org/spreadsheetml/2006/main" count="182" uniqueCount="156">
  <si>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</si>
  <si>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</si>
  <si>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</si>
  <si>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</si>
  <si>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</si>
  <si>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</si>
  <si>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</si>
  <si>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</si>
  <si>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</si>
  <si>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</si>
  <si>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</si>
  <si>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</si>
  <si>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</si>
  <si>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</si>
  <si>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</si>
  <si>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</si>
  <si>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</si>
  <si>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</si>
  <si>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</si>
  <si>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</si>
  <si>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</si>
  <si>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</si>
  <si>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</si>
  <si>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</si>
  <si>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</si>
  <si>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</si>
  <si>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</si>
  <si>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</si>
  <si>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</si>
  <si>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</si>
  <si>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</si>
  <si>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</si>
  <si>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</si>
  <si>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</si>
  <si>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</si>
  <si>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</si>
  <si>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</si>
  <si>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</si>
  <si>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</si>
  <si>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</si>
  <si>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</si>
  <si>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</si>
  <si>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</si>
  <si>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</si>
  <si>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</si>
  <si>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</si>
  <si>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</si>
  <si>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</si>
  <si>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</si>
  <si>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</si>
  <si>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</si>
  <si>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</si>
  <si>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</si>
  <si>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</si>
  <si>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</si>
  <si>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</si>
  <si>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</si>
  <si>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</si>
  <si>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</si>
  <si>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</si>
  <si>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</si>
  <si>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</si>
  <si>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</si>
  <si>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</si>
  <si>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</si>
  <si>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</si>
  <si>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</si>
  <si>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</si>
  <si>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</si>
  <si>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</si>
  <si>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</si>
  <si>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</si>
  <si>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</si>
  <si>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</si>
  <si>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</si>
  <si>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</si>
  <si>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</si>
  <si>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</si>
  <si>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</si>
  <si>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</si>
  <si>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</si>
  <si>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</si>
  <si>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</si>
  <si>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</si>
  <si>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</si>
  <si>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</si>
  <si>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</si>
  <si>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</si>
  <si>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</si>
  <si>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</si>
  <si>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</si>
  <si>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</si>
  <si>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</si>
  <si>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</si>
  <si>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</si>
  <si>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</si>
  <si>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</si>
  <si>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</si>
  <si>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</si>
  <si>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</si>
  <si>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</si>
  <si>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</si>
  <si>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</si>
  <si>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</si>
  <si>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</si>
  <si>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</si>
  <si>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</si>
  <si>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</si>
  <si>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</si>
  <si>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</si>
  <si>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</si>
  <si>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</si>
  <si>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</si>
  <si>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</si>
  <si>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</si>
  <si>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</si>
  <si>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</si>
  <si>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</si>
  <si>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</si>
  <si>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</si>
  <si>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</si>
  <si>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</si>
  <si>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</si>
  <si>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</si>
  <si>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</si>
  <si>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</si>
  <si>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</si>
  <si>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</si>
  <si>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</si>
  <si>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</si>
  <si>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</si>
  <si>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</si>
  <si>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</si>
  <si>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</si>
  <si>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</si>
  <si>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</si>
  <si>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</si>
  <si>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</si>
  <si>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</si>
  <si>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</si>
  <si>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</si>
  <si>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</si>
  <si>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</si>
  <si>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</si>
  <si>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</si>
  <si>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</si>
  <si>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</si>
  <si>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</si>
  <si>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</si>
  <si>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</si>
  <si>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GP</t>
  </si>
  <si>
    <t>EBITDA, EBIT, EBT</t>
  </si>
  <si>
    <t>n/a</t>
  </si>
  <si>
    <t>Share price</t>
  </si>
  <si>
    <t>Stated in USD millions</t>
  </si>
  <si>
    <t>Stated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</si>
</sst>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20"/>
      <color rgb="FFFFFFFF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ADB9CA"/>
        <bgColor indexed="64"/>
      </patternFill>
    </fill>
    <fill>
      <patternFill patternType="solid">
        <fgColor rgb="FFE2EFD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0" applyNumberForma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6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0" applyNumberForma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/>
    <xf numFmtId="9" fontId="0" fillId="0" borderId="0" xfId="3" applyFont="1"/>
    <xf numFmtId="43" fontId="1" fillId="0" borderId="0" xfId="1"/>
    <xf numFmtId="10" fontId="0" fillId="0" borderId="0" xfId="3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5" fontId="8" fillId="0" borderId="0" xfId="0" applyNumberFormat="1" applyFont="1"/>
    <xf numFmtId="0" fontId="8" fillId="0" borderId="0" xfId="0" applyFont="1" applyAlignment="1">
      <alignment horizontal="left" indent="1"/>
    </xf>
    <xf numFmtId="10" fontId="8" fillId="0" borderId="0" xfId="3" applyNumberFormat="1" applyFont="1"/>
    <xf numFmtId="0" fontId="8" fillId="0" borderId="0" xfId="0" applyFont="1" applyAlignment="1">
      <alignment horizontal="left" indent="2"/>
    </xf>
    <xf numFmtId="43" fontId="8" fillId="0" borderId="0" xfId="1" applyFont="1"/>
    <xf numFmtId="41" fontId="1" fillId="0" borderId="0" xfId="2"/>
    <xf numFmtId="0" fontId="11" fillId="0" borderId="0" xfId="0" applyFont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na Mugambi" id="{EEDB8029-608E-4032-9D09-12173B9606B2}" userId="S::edna@numeris.mu::e1684a73-3c15-4250-a2ef-027d4d8aec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4-09-10T13:24:10.05" personId="{EEDB8029-608E-4032-9D09-12173B9606B2}" id="{A32B60EF-7748-4B90-A249-F77242481A73}">
    <text>Current assets/current liabilities</text>
  </threadedComment>
  <threadedComment ref="B6" dT="2024-09-10T13:37:22.94" personId="{EEDB8029-608E-4032-9D09-12173B9606B2}" id="{481FCAF6-F4C7-4D69-9653-0A211DC7ABAA}">
    <text>(Cash + short term marketable securities + receivables) / Current liabilities</text>
  </threadedComment>
  <threadedComment ref="B7" dT="2024-09-10T13:37:49.22" personId="{EEDB8029-608E-4032-9D09-12173B9606B2}" id="{52ED5C8F-97C2-4503-B1FA-2338882B1AE7}">
    <text>(Cash + short term marketable securities) / Current liabilities</text>
  </threadedComment>
  <threadedComment ref="B8" dT="2024-09-10T13:38:56.97" personId="{EEDB8029-608E-4032-9D09-12173B9606B2}" id="{4D0CB623-FEB5-4B4E-9B27-C9B264CD5B51}">
    <text>(Cash + short term marketable securities + receivables) / Daily cash expenditures
Daily cash expenditures = operating expenses / Days in period</text>
  </threadedComment>
  <threadedComment ref="B9" dT="2024-09-10T13:40:26.19" personId="{EEDB8029-608E-4032-9D09-12173B9606B2}" id="{43E8588E-6096-4C7D-840D-E6BED100E6C8}">
    <text>Inventory / COGS * Days in period</text>
  </threadedComment>
  <threadedComment ref="B10" dT="2024-09-10T13:41:05.66" personId="{EEDB8029-608E-4032-9D09-12173B9606B2}" id="{72F8AB40-0C8C-48DF-8727-01D0188DE758}">
    <text>Accounts payable / COGS * Days in period</text>
  </threadedComment>
  <threadedComment ref="B11" dT="2024-09-10T13:41:26.84" personId="{EEDB8029-608E-4032-9D09-12173B9606B2}" id="{B230BAC8-A935-43F5-B956-02DE2F0A1402}">
    <text>Accounts receivable / Turnover * Days in period</text>
  </threadedComment>
  <threadedComment ref="B12" dT="2024-09-10T13:41:42.33" personId="{EEDB8029-608E-4032-9D09-12173B9606B2}" id="{EB87A414-5A48-4244-AA62-81A57E0128CA}">
    <text>DSO + DOH - DPO</text>
  </threadedComment>
  <threadedComment ref="B14" dT="2024-09-10T13:56:05.74" personId="{EEDB8029-608E-4032-9D09-12173B9606B2}" id="{CAEE787E-9E19-48EC-930A-3016AD7A505E}">
    <text>Current assets (less cash) - Current liabilities (less debt)</text>
  </threadedComment>
  <threadedComment ref="B17" dT="2024-09-10T13:41:55.91" personId="{EEDB8029-608E-4032-9D09-12173B9606B2}" id="{204C3D68-4E9D-4FE1-9DF7-7216D32DA027}">
    <text>Gross profit / Turnover</text>
  </threadedComment>
  <threadedComment ref="B18" dT="2024-09-10T13:42:18.07" personId="{EEDB8029-608E-4032-9D09-12173B9606B2}" id="{099D6AB5-66FE-4B67-90DE-AE9EF3CF1EB5}">
    <text>EBITDA / Turnover</text>
  </threadedComment>
  <threadedComment ref="B20" dT="2024-09-10T13:42:26.83" personId="{EEDB8029-608E-4032-9D09-12173B9606B2}" id="{73205026-1ADC-45AC-8B5E-4B2C1B1D2994}">
    <text>EBIT / Turnover</text>
  </threadedComment>
  <threadedComment ref="B22" dT="2024-09-10T13:42:40.12" personId="{EEDB8029-608E-4032-9D09-12173B9606B2}" id="{5450AAA6-8FF2-4D5C-9585-0BC5C18BFC51}">
    <text>Net income / Turnover</text>
  </threadedComment>
  <threadedComment ref="B25" dT="2024-09-10T13:43:10.56" personId="{EEDB8029-608E-4032-9D09-12173B9606B2}" id="{38FE2D13-8B03-40A1-A31E-35D481E43CB7}">
    <text>Total debt (interest bearing) / Total shareholders equity</text>
  </threadedComment>
  <threadedComment ref="B26" dT="2024-09-10T13:43:48.52" personId="{EEDB8029-608E-4032-9D09-12173B9606B2}" id="{0BDDB42D-0ABD-4F25-BA8F-B3E9AA01821F}">
    <text>Total debt (interest bearing) / Total assets</text>
  </threadedComment>
  <threadedComment ref="B27" dT="2024-09-10T13:44:51.54" personId="{EEDB8029-608E-4032-9D09-12173B9606B2}" id="{7B74E8D5-F076-4CC2-B29E-27EE730ED5DF}">
    <text>Long-term debt / Total capital</text>
  </threadedComment>
  <threadedComment ref="B28" dT="2024-09-10T13:47:06.34" personId="{EEDB8029-608E-4032-9D09-12173B9606B2}" id="{B3B29A10-8EDA-4367-A38E-DB74546A58E0}">
    <text>Operating income / interest expense</text>
  </threadedComment>
  <threadedComment ref="B29" dT="2024-09-10T13:49:44.96" personId="{EEDB8029-608E-4032-9D09-12173B9606B2}" id="{2DF2E287-9E77-4D4E-AFA7-3579CF50AC02}">
    <text>EBITDA / (Principal + interest payments)</text>
  </threadedComment>
  <threadedComment ref="B30" dT="2024-09-10T13:51:24.61" personId="{EEDB8029-608E-4032-9D09-12173B9606B2}" id="{7492EF5F-A513-4D4B-ACF8-6BA83601C60C}">
    <text>FCFE / No. of shares outstanding</text>
  </threadedComment>
  <threadedComment ref="B31" dT="2024-09-10T13:51:04.37" personId="{EEDB8029-608E-4032-9D09-12173B9606B2}" id="{3707ACCB-EE01-4D07-8F82-6CD4F6E0BB1C}">
    <text>Cash flow from operations - Fixed capital investment - Net borrowing
Net borrowing = Drawdowns -  Repayments (of long term debt)</text>
  </threadedComment>
  <threadedComment ref="B34" dT="2024-09-10T13:51:52.50" personId="{EEDB8029-608E-4032-9D09-12173B9606B2}" id="{6E44CE47-6DA2-474C-998E-CD5B736592F3}">
    <text>Revenue / Average total assets</text>
  </threadedComment>
  <threadedComment ref="B35" dT="2024-09-10T13:52:06.08" personId="{EEDB8029-608E-4032-9D09-12173B9606B2}" id="{76F5407B-D724-4B5A-9D5F-31C4426F0B9D}">
    <text>Revenue / Average fixed assets</text>
  </threadedComment>
  <threadedComment ref="B36" dT="2024-09-10T13:52:26.71" personId="{EEDB8029-608E-4032-9D09-12173B9606B2}" id="{72A1AA78-3AA8-4AEC-8FEB-13AA74DF0661}">
    <text>COGS / Average inventory</text>
  </threadedComment>
  <threadedComment ref="B37" dT="2024-09-10T13:52:46.52" personId="{EEDB8029-608E-4032-9D09-12173B9606B2}" id="{601F6B80-1E66-40A8-BA56-D9ECBB9D5840}">
    <text>Net Income / Average total assets</text>
  </threadedComment>
  <threadedComment ref="B40" dT="2024-09-10T14:05:09.62" personId="{EEDB8029-608E-4032-9D09-12173B9606B2}" id="{FDD15EDA-32FA-489D-AC48-6923C0F508D9}">
    <text>Price / EPS</text>
  </threadedComment>
  <threadedComment ref="B41" dT="2024-09-10T14:05:36.93" personId="{EEDB8029-608E-4032-9D09-12173B9606B2}" id="{A634C0A0-563C-4FD3-AF75-FF116E75E76B}">
    <text>Net income / average shares outstanding</text>
  </threadedComment>
  <threadedComment ref="B42" dT="2024-09-10T14:06:26.39" personId="{EEDB8029-608E-4032-9D09-12173B9606B2}" id="{D339A80B-73D2-4275-8A95-7917AE5FC1D7}">
    <text>Market capitalisation / Book value of equity</text>
  </threadedComment>
  <threadedComment ref="B43" dT="2024-09-10T14:07:05.58" personId="{EEDB8029-608E-4032-9D09-12173B9606B2}" id="{82260277-29EC-4ACD-8EDF-2AD59C83C5EB}">
    <text>Book value of equity / No. of shares outstanding</text>
  </threadedComment>
  <threadedComment ref="B44" dT="2024-09-10T14:07:38.33" personId="{EEDB8029-608E-4032-9D09-12173B9606B2}" id="{8B423DE2-4B96-4961-8361-C5466383851E}">
    <text>Dividends paid / Net income</text>
  </threadedComment>
  <threadedComment ref="B46" dT="2024-09-10T14:08:16.40" personId="{EEDB8029-608E-4032-9D09-12173B9606B2}" id="{71CCEC95-5408-418A-8FB8-ACD616A4BCFF}">
    <text>Dividend per share / Share price</text>
  </threadedComment>
  <threadedComment ref="B47" dT="2024-09-10T14:09:15.46" personId="{EEDB8029-608E-4032-9D09-12173B9606B2}" id="{76846652-909B-4467-811D-37748882B2FD}">
    <text>Net income / Total shareholders equity</text>
  </threadedComment>
  <threadedComment ref="B48" dT="2024-09-10T14:10:07.25" personId="{EEDB8029-608E-4032-9D09-12173B9606B2}" id="{B4F34063-E377-453D-9FE4-5553B52ACE9F}">
    <text>Operating profit / capital employed</text>
  </threadedComment>
  <threadedComment ref="B49" dT="2024-09-10T13:54:59.55" personId="{EEDB8029-608E-4032-9D09-12173B9606B2}" id="{077B168E-BC4D-4C52-96AD-A6FD0A047B69}">
    <text>Net Income / Average total assets</text>
  </threadedComment>
  <threadedComment ref="B51" dT="2024-09-10T14:56:13.72" personId="{EEDB8029-608E-4032-9D09-12173B9606B2}" id="{7CE1B353-CE75-4CD1-8BDA-F32D420E83F3}">
    <text>Market capitalisation + market value of debt - cash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B6" sqref="B6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B103" sqref="B103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4" t="s">
        <v>1</v>
      </c>
      <c r="B2" s="24"/>
      <c r="C2" s="24"/>
      <c r="D2" s="24"/>
    </row>
    <row r="3" spans="1:10" x14ac:dyDescent="0.35">
      <c r="B3" s="23" t="s">
        <v>23</v>
      </c>
      <c r="C3" s="23"/>
      <c r="D3" s="23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F13" t="s">
        <v>150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3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6" s="7" customFormat="1" x14ac:dyDescent="0.3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6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3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F20" s="7" t="s">
        <v>151</v>
      </c>
    </row>
    <row r="21" spans="1:6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6" ht="15" thickBot="1" x14ac:dyDescent="0.4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6" ht="15" thickTop="1" x14ac:dyDescent="0.35">
      <c r="A23" t="s">
        <v>19</v>
      </c>
    </row>
    <row r="24" spans="1:6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35">
      <c r="A26" t="s">
        <v>22</v>
      </c>
    </row>
    <row r="27" spans="1:6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0" spans="1:6" x14ac:dyDescent="0.35">
      <c r="A30" s="1" t="s">
        <v>153</v>
      </c>
      <c r="B30">
        <v>138.19999999999999</v>
      </c>
      <c r="C30">
        <v>141.5</v>
      </c>
      <c r="D30">
        <v>115.81</v>
      </c>
    </row>
    <row r="32" spans="1:6" x14ac:dyDescent="0.35">
      <c r="A32" s="24" t="s">
        <v>24</v>
      </c>
      <c r="B32" s="24"/>
      <c r="C32" s="24"/>
      <c r="D32" s="24"/>
    </row>
    <row r="33" spans="1:4" x14ac:dyDescent="0.35">
      <c r="B33" s="23" t="s">
        <v>142</v>
      </c>
      <c r="C33" s="23"/>
      <c r="D33" s="23"/>
    </row>
    <row r="34" spans="1:4" x14ac:dyDescent="0.35">
      <c r="B34" s="7">
        <f>+B4</f>
        <v>2022</v>
      </c>
      <c r="C34" s="7">
        <f>+C4</f>
        <v>2021</v>
      </c>
      <c r="D34" s="7">
        <f>+D4</f>
        <v>2020</v>
      </c>
    </row>
    <row r="36" spans="1:4" x14ac:dyDescent="0.35">
      <c r="A36" t="s">
        <v>25</v>
      </c>
    </row>
    <row r="37" spans="1:4" x14ac:dyDescent="0.35">
      <c r="A37" s="1" t="s">
        <v>26</v>
      </c>
      <c r="B37" s="12">
        <v>23646</v>
      </c>
      <c r="C37" s="12">
        <v>34940</v>
      </c>
      <c r="D37" s="12">
        <v>38016</v>
      </c>
    </row>
    <row r="38" spans="1:4" x14ac:dyDescent="0.35">
      <c r="A38" s="1" t="s">
        <v>27</v>
      </c>
      <c r="B38" s="12">
        <v>24658</v>
      </c>
      <c r="C38" s="12">
        <v>27699</v>
      </c>
      <c r="D38" s="12">
        <v>52927</v>
      </c>
    </row>
    <row r="39" spans="1:4" x14ac:dyDescent="0.35">
      <c r="A39" s="1" t="s">
        <v>28</v>
      </c>
      <c r="B39" s="12">
        <v>28184</v>
      </c>
      <c r="C39" s="12">
        <v>26278</v>
      </c>
      <c r="D39" s="12">
        <v>16120</v>
      </c>
    </row>
    <row r="40" spans="1:4" x14ac:dyDescent="0.35">
      <c r="A40" s="1" t="s">
        <v>29</v>
      </c>
      <c r="B40" s="12">
        <v>4946</v>
      </c>
      <c r="C40" s="12">
        <v>6580</v>
      </c>
      <c r="D40" s="12">
        <v>4061</v>
      </c>
    </row>
    <row r="41" spans="1:4" x14ac:dyDescent="0.35">
      <c r="A41" s="1" t="s">
        <v>47</v>
      </c>
      <c r="B41" s="12">
        <v>32748</v>
      </c>
      <c r="C41" s="12">
        <v>25228</v>
      </c>
      <c r="D41" s="12">
        <v>21325</v>
      </c>
    </row>
    <row r="42" spans="1:4" x14ac:dyDescent="0.35">
      <c r="A42" s="1" t="s">
        <v>30</v>
      </c>
      <c r="B42" s="12">
        <v>21223</v>
      </c>
      <c r="C42" s="12">
        <v>14111</v>
      </c>
      <c r="D42" s="12">
        <v>11264</v>
      </c>
    </row>
    <row r="43" spans="1:4" x14ac:dyDescent="0.35">
      <c r="A43" s="8" t="s">
        <v>31</v>
      </c>
      <c r="B43" s="13">
        <f>+SUM(B37:B42)</f>
        <v>135405</v>
      </c>
      <c r="C43" s="13">
        <f>+SUM(C37:C42)</f>
        <v>134836</v>
      </c>
      <c r="D43" s="13">
        <f>+SUM(D37:D42)</f>
        <v>143713</v>
      </c>
    </row>
    <row r="44" spans="1:4" x14ac:dyDescent="0.35">
      <c r="A44" t="s">
        <v>48</v>
      </c>
      <c r="B44" s="12"/>
      <c r="C44" s="12"/>
      <c r="D44" s="12"/>
    </row>
    <row r="45" spans="1:4" x14ac:dyDescent="0.35">
      <c r="A45" s="1" t="s">
        <v>27</v>
      </c>
      <c r="B45" s="12">
        <v>120805</v>
      </c>
      <c r="C45" s="12">
        <v>127877</v>
      </c>
      <c r="D45" s="12">
        <v>100887</v>
      </c>
    </row>
    <row r="46" spans="1:4" x14ac:dyDescent="0.35">
      <c r="A46" s="1" t="s">
        <v>32</v>
      </c>
      <c r="B46" s="12">
        <v>42117</v>
      </c>
      <c r="C46" s="12">
        <v>39440</v>
      </c>
      <c r="D46" s="12">
        <v>36766</v>
      </c>
    </row>
    <row r="47" spans="1:4" x14ac:dyDescent="0.35">
      <c r="A47" s="1" t="s">
        <v>49</v>
      </c>
      <c r="B47" s="12">
        <v>54428</v>
      </c>
      <c r="C47" s="12">
        <v>48849</v>
      </c>
      <c r="D47" s="12">
        <v>42522</v>
      </c>
    </row>
    <row r="48" spans="1:4" x14ac:dyDescent="0.35">
      <c r="A48" s="8" t="s">
        <v>50</v>
      </c>
      <c r="B48" s="13">
        <f>+SUM(B45:B47)</f>
        <v>217350</v>
      </c>
      <c r="C48" s="13">
        <f>+SUM(C45:C47)</f>
        <v>216166</v>
      </c>
      <c r="D48" s="13">
        <f>+SUM(D45:D47)</f>
        <v>180175</v>
      </c>
    </row>
    <row r="49" spans="1:4" ht="15" thickBot="1" x14ac:dyDescent="0.4">
      <c r="A49" s="9" t="s">
        <v>33</v>
      </c>
      <c r="B49" s="14">
        <f>+B43+B48</f>
        <v>352755</v>
      </c>
      <c r="C49" s="14">
        <f>+C43+C48</f>
        <v>351002</v>
      </c>
      <c r="D49" s="14">
        <f>+D43+D48</f>
        <v>323888</v>
      </c>
    </row>
    <row r="50" spans="1:4" ht="15" thickTop="1" x14ac:dyDescent="0.35"/>
    <row r="51" spans="1:4" x14ac:dyDescent="0.35">
      <c r="A51" t="s">
        <v>34</v>
      </c>
    </row>
    <row r="52" spans="1:4" x14ac:dyDescent="0.35">
      <c r="A52" s="1" t="s">
        <v>35</v>
      </c>
      <c r="B52" s="12">
        <v>64115</v>
      </c>
      <c r="C52" s="12">
        <v>54763</v>
      </c>
      <c r="D52" s="12">
        <v>42296</v>
      </c>
    </row>
    <row r="53" spans="1:4" x14ac:dyDescent="0.35">
      <c r="A53" s="1" t="s">
        <v>36</v>
      </c>
      <c r="B53" s="12">
        <v>60845</v>
      </c>
      <c r="C53" s="12">
        <v>47493</v>
      </c>
      <c r="D53" s="12">
        <v>42684</v>
      </c>
    </row>
    <row r="54" spans="1:4" x14ac:dyDescent="0.35">
      <c r="A54" s="1" t="s">
        <v>37</v>
      </c>
      <c r="B54" s="12">
        <v>7912</v>
      </c>
      <c r="C54" s="12">
        <v>7612</v>
      </c>
      <c r="D54" s="12">
        <v>6643</v>
      </c>
    </row>
    <row r="55" spans="1:4" x14ac:dyDescent="0.35">
      <c r="A55" s="1" t="s">
        <v>38</v>
      </c>
      <c r="B55" s="12">
        <v>9982</v>
      </c>
      <c r="C55" s="12">
        <v>6000</v>
      </c>
      <c r="D55" s="12">
        <v>4996</v>
      </c>
    </row>
    <row r="56" spans="1:4" x14ac:dyDescent="0.35">
      <c r="A56" s="1" t="s">
        <v>39</v>
      </c>
      <c r="B56" s="12">
        <v>11128</v>
      </c>
      <c r="C56" s="12">
        <v>9613</v>
      </c>
      <c r="D56" s="12">
        <v>8773</v>
      </c>
    </row>
    <row r="57" spans="1:4" x14ac:dyDescent="0.35">
      <c r="A57" s="8" t="s">
        <v>40</v>
      </c>
      <c r="B57" s="13">
        <f>+SUM(B52:B56)</f>
        <v>153982</v>
      </c>
      <c r="C57" s="13">
        <f>+SUM(C52:C56)</f>
        <v>125481</v>
      </c>
      <c r="D57" s="13">
        <f>+SUM(D52:D56)</f>
        <v>105392</v>
      </c>
    </row>
    <row r="58" spans="1:4" x14ac:dyDescent="0.35">
      <c r="A58" t="s">
        <v>51</v>
      </c>
      <c r="B58" s="12"/>
      <c r="C58" s="12"/>
      <c r="D58" s="12"/>
    </row>
    <row r="59" spans="1:4" x14ac:dyDescent="0.35">
      <c r="A59" s="1" t="s">
        <v>37</v>
      </c>
      <c r="B59" s="12"/>
      <c r="C59" s="12"/>
      <c r="D59" s="12"/>
    </row>
    <row r="60" spans="1:4" x14ac:dyDescent="0.35">
      <c r="A60" s="1" t="s">
        <v>39</v>
      </c>
      <c r="B60" s="12">
        <v>98959</v>
      </c>
      <c r="C60" s="12">
        <v>109106</v>
      </c>
      <c r="D60" s="12">
        <v>98667</v>
      </c>
    </row>
    <row r="61" spans="1:4" x14ac:dyDescent="0.35">
      <c r="A61" s="1" t="s">
        <v>52</v>
      </c>
      <c r="B61" s="12">
        <v>49142</v>
      </c>
      <c r="C61" s="12">
        <v>53325</v>
      </c>
      <c r="D61" s="12">
        <v>54490</v>
      </c>
    </row>
    <row r="62" spans="1:4" x14ac:dyDescent="0.35">
      <c r="A62" s="22" t="s">
        <v>53</v>
      </c>
      <c r="B62" s="21">
        <f>+B60+B61</f>
        <v>148101</v>
      </c>
      <c r="C62" s="21">
        <f>+C60+C61</f>
        <v>162431</v>
      </c>
      <c r="D62" s="21">
        <f>+D60+D61</f>
        <v>153157</v>
      </c>
    </row>
    <row r="63" spans="1:4" x14ac:dyDescent="0.35">
      <c r="A63" s="8" t="s">
        <v>41</v>
      </c>
      <c r="B63" s="13">
        <f>+B57+B62</f>
        <v>302083</v>
      </c>
      <c r="C63" s="13">
        <f>+C57+C62</f>
        <v>287912</v>
      </c>
      <c r="D63" s="13">
        <f>+D57+D62</f>
        <v>258549</v>
      </c>
    </row>
    <row r="64" spans="1:4" x14ac:dyDescent="0.35">
      <c r="B64" s="12"/>
      <c r="C64" s="12"/>
      <c r="D64" s="12"/>
    </row>
    <row r="65" spans="1:4" x14ac:dyDescent="0.35">
      <c r="A65" t="s">
        <v>42</v>
      </c>
      <c r="B65" s="12"/>
      <c r="C65" s="12"/>
      <c r="D65" s="12"/>
    </row>
    <row r="66" spans="1:4" x14ac:dyDescent="0.35">
      <c r="A66" s="1" t="s">
        <v>54</v>
      </c>
      <c r="B66" s="12">
        <v>64849</v>
      </c>
      <c r="C66" s="12">
        <v>57365</v>
      </c>
      <c r="D66" s="12">
        <v>50779</v>
      </c>
    </row>
    <row r="67" spans="1:4" x14ac:dyDescent="0.35">
      <c r="A67" s="1" t="s">
        <v>43</v>
      </c>
      <c r="B67" s="12">
        <v>-3068</v>
      </c>
      <c r="C67" s="12">
        <v>5562</v>
      </c>
      <c r="D67" s="12">
        <v>14966</v>
      </c>
    </row>
    <row r="68" spans="1:4" x14ac:dyDescent="0.35">
      <c r="A68" s="1" t="s">
        <v>44</v>
      </c>
      <c r="B68" s="12">
        <v>-11109</v>
      </c>
      <c r="C68" s="12">
        <v>163</v>
      </c>
      <c r="D68" s="12">
        <v>-406</v>
      </c>
    </row>
    <row r="69" spans="1:4" x14ac:dyDescent="0.35">
      <c r="A69" s="8" t="s">
        <v>45</v>
      </c>
      <c r="B69" s="13">
        <f>+SUM(B66:B68)</f>
        <v>50672</v>
      </c>
      <c r="C69" s="13">
        <f>+SUM(C66:C68)</f>
        <v>63090</v>
      </c>
      <c r="D69" s="13">
        <f>+SUM(D66:D68)</f>
        <v>65339</v>
      </c>
    </row>
    <row r="70" spans="1:4" ht="15" thickBot="1" x14ac:dyDescent="0.4">
      <c r="A70" s="9" t="s">
        <v>46</v>
      </c>
      <c r="B70" s="14">
        <f>+B69+B63</f>
        <v>352755</v>
      </c>
      <c r="C70" s="14">
        <f>+C69+C63</f>
        <v>351002</v>
      </c>
      <c r="D70" s="14">
        <f>+D69+D63</f>
        <v>323888</v>
      </c>
    </row>
    <row r="71" spans="1:4" ht="15" thickTop="1" x14ac:dyDescent="0.35"/>
    <row r="72" spans="1:4" x14ac:dyDescent="0.35">
      <c r="A72" s="24" t="s">
        <v>55</v>
      </c>
      <c r="B72" s="24"/>
      <c r="C72" s="24"/>
      <c r="D72" s="24"/>
    </row>
    <row r="73" spans="1:4" x14ac:dyDescent="0.35">
      <c r="B73" s="23" t="s">
        <v>23</v>
      </c>
      <c r="C73" s="23"/>
      <c r="D73" s="23"/>
    </row>
    <row r="74" spans="1:4" x14ac:dyDescent="0.35">
      <c r="B74" s="7">
        <f>+B34</f>
        <v>2022</v>
      </c>
      <c r="C74" s="7">
        <f>+C34</f>
        <v>2021</v>
      </c>
      <c r="D74" s="7">
        <f>+D34</f>
        <v>2020</v>
      </c>
    </row>
    <row r="76" spans="1:4" x14ac:dyDescent="0.35">
      <c r="A76" s="7" t="s">
        <v>56</v>
      </c>
      <c r="B76" s="15"/>
      <c r="C76" s="15"/>
      <c r="D76" s="15"/>
    </row>
    <row r="77" spans="1:4" x14ac:dyDescent="0.35">
      <c r="A77" t="s">
        <v>57</v>
      </c>
      <c r="B77" s="12">
        <f>+B22</f>
        <v>99803</v>
      </c>
      <c r="C77" s="12">
        <f>+C22</f>
        <v>94680</v>
      </c>
      <c r="D77" s="12">
        <f>+D22</f>
        <v>57411</v>
      </c>
    </row>
    <row r="78" spans="1:4" x14ac:dyDescent="0.35">
      <c r="A78" s="11" t="s">
        <v>18</v>
      </c>
      <c r="B78" s="15"/>
      <c r="C78" s="15"/>
      <c r="D78" s="15"/>
    </row>
    <row r="79" spans="1:4" x14ac:dyDescent="0.35">
      <c r="A79" s="1" t="s">
        <v>58</v>
      </c>
      <c r="B79" s="12"/>
      <c r="C79" s="12"/>
      <c r="D79" s="12"/>
    </row>
    <row r="80" spans="1:4" x14ac:dyDescent="0.35">
      <c r="A80" s="3" t="s">
        <v>59</v>
      </c>
      <c r="B80" s="12">
        <v>11104</v>
      </c>
      <c r="C80" s="12">
        <v>11284</v>
      </c>
      <c r="D80" s="12">
        <v>11056</v>
      </c>
    </row>
    <row r="81" spans="1:4" x14ac:dyDescent="0.35">
      <c r="A81" s="3" t="s">
        <v>83</v>
      </c>
      <c r="B81" s="12">
        <v>9038</v>
      </c>
      <c r="C81" s="12">
        <v>7906</v>
      </c>
      <c r="D81" s="12">
        <v>6829</v>
      </c>
    </row>
    <row r="82" spans="1:4" x14ac:dyDescent="0.35">
      <c r="A82" s="3" t="s">
        <v>60</v>
      </c>
      <c r="B82" s="12">
        <v>895</v>
      </c>
      <c r="C82" s="12">
        <v>-4774</v>
      </c>
      <c r="D82" s="12">
        <v>-215</v>
      </c>
    </row>
    <row r="83" spans="1:4" x14ac:dyDescent="0.35">
      <c r="A83" s="3" t="s">
        <v>61</v>
      </c>
      <c r="B83" s="12">
        <v>111</v>
      </c>
      <c r="C83" s="12">
        <v>-147</v>
      </c>
      <c r="D83" s="12">
        <v>-97</v>
      </c>
    </row>
    <row r="84" spans="1:4" x14ac:dyDescent="0.35">
      <c r="A84" t="s">
        <v>62</v>
      </c>
      <c r="B84" s="12"/>
      <c r="C84" s="12"/>
      <c r="D84" s="12"/>
    </row>
    <row r="85" spans="1:4" x14ac:dyDescent="0.35">
      <c r="A85" s="1" t="s">
        <v>28</v>
      </c>
      <c r="B85" s="12">
        <v>-1823</v>
      </c>
      <c r="C85" s="12">
        <v>-10125</v>
      </c>
      <c r="D85" s="12">
        <v>6917</v>
      </c>
    </row>
    <row r="86" spans="1:4" x14ac:dyDescent="0.35">
      <c r="A86" s="1" t="s">
        <v>29</v>
      </c>
      <c r="B86" s="12">
        <v>1484</v>
      </c>
      <c r="C86" s="12">
        <v>-2642</v>
      </c>
      <c r="D86" s="12">
        <v>-127</v>
      </c>
    </row>
    <row r="87" spans="1:4" x14ac:dyDescent="0.35">
      <c r="A87" s="1" t="s">
        <v>47</v>
      </c>
      <c r="B87" s="12">
        <v>-7520</v>
      </c>
      <c r="C87" s="12">
        <v>-3903</v>
      </c>
      <c r="D87" s="12">
        <v>1553</v>
      </c>
    </row>
    <row r="88" spans="1:4" x14ac:dyDescent="0.35">
      <c r="A88" s="1" t="s">
        <v>84</v>
      </c>
      <c r="B88" s="12">
        <v>-6499</v>
      </c>
      <c r="C88" s="12">
        <v>-8042</v>
      </c>
      <c r="D88" s="12">
        <v>-9588</v>
      </c>
    </row>
    <row r="89" spans="1:4" x14ac:dyDescent="0.35">
      <c r="A89" s="1" t="s">
        <v>35</v>
      </c>
      <c r="B89" s="12">
        <v>9448</v>
      </c>
      <c r="C89" s="12">
        <v>12326</v>
      </c>
      <c r="D89" s="12">
        <v>-4062</v>
      </c>
    </row>
    <row r="90" spans="1:4" x14ac:dyDescent="0.35">
      <c r="A90" s="1" t="s">
        <v>37</v>
      </c>
      <c r="B90" s="12">
        <v>478</v>
      </c>
      <c r="C90" s="12">
        <v>1676</v>
      </c>
      <c r="D90" s="12">
        <v>2081</v>
      </c>
    </row>
    <row r="91" spans="1:4" x14ac:dyDescent="0.35">
      <c r="A91" s="1" t="s">
        <v>85</v>
      </c>
      <c r="B91" s="12">
        <v>5632</v>
      </c>
      <c r="C91" s="12">
        <v>5799</v>
      </c>
      <c r="D91" s="12">
        <v>8916</v>
      </c>
    </row>
    <row r="92" spans="1:4" x14ac:dyDescent="0.35">
      <c r="A92" s="8" t="s">
        <v>63</v>
      </c>
      <c r="B92" s="13">
        <f>+SUM(B77:B91)</f>
        <v>122151</v>
      </c>
      <c r="C92" s="13">
        <f>+SUM(C77:C91)</f>
        <v>104038</v>
      </c>
      <c r="D92" s="13">
        <f>+SUM(D77:D91)</f>
        <v>80674</v>
      </c>
    </row>
    <row r="93" spans="1:4" x14ac:dyDescent="0.35">
      <c r="A93" s="7" t="s">
        <v>64</v>
      </c>
      <c r="B93" s="12"/>
      <c r="C93" s="12"/>
      <c r="D93" s="12"/>
    </row>
    <row r="94" spans="1:4" x14ac:dyDescent="0.35">
      <c r="A94" s="1" t="s">
        <v>65</v>
      </c>
      <c r="B94" s="12">
        <v>-76923</v>
      </c>
      <c r="C94" s="12">
        <v>-109558</v>
      </c>
      <c r="D94" s="12">
        <v>-114938</v>
      </c>
    </row>
    <row r="95" spans="1:4" x14ac:dyDescent="0.35">
      <c r="A95" s="1" t="s">
        <v>66</v>
      </c>
      <c r="B95" s="12">
        <v>29917</v>
      </c>
      <c r="C95" s="12">
        <v>59023</v>
      </c>
      <c r="D95" s="12">
        <v>69918</v>
      </c>
    </row>
    <row r="96" spans="1:4" x14ac:dyDescent="0.35">
      <c r="A96" s="1" t="s">
        <v>67</v>
      </c>
      <c r="B96" s="12">
        <v>37446</v>
      </c>
      <c r="C96" s="12">
        <v>47460</v>
      </c>
      <c r="D96" s="12">
        <v>50473</v>
      </c>
    </row>
    <row r="97" spans="1:4" x14ac:dyDescent="0.35">
      <c r="A97" s="1" t="s">
        <v>68</v>
      </c>
      <c r="B97" s="12">
        <v>-10708</v>
      </c>
      <c r="C97" s="12">
        <v>-11085</v>
      </c>
      <c r="D97" s="12">
        <v>-7309</v>
      </c>
    </row>
    <row r="98" spans="1:4" x14ac:dyDescent="0.35">
      <c r="A98" s="1" t="s">
        <v>69</v>
      </c>
      <c r="B98" s="12">
        <v>-306</v>
      </c>
      <c r="C98" s="12">
        <v>-33</v>
      </c>
      <c r="D98" s="12">
        <v>-1524</v>
      </c>
    </row>
    <row r="99" spans="1:4" x14ac:dyDescent="0.35">
      <c r="A99" s="1" t="s">
        <v>61</v>
      </c>
      <c r="B99" s="12">
        <v>-1780</v>
      </c>
      <c r="C99" s="12">
        <v>-352</v>
      </c>
      <c r="D99" s="12">
        <v>-909</v>
      </c>
    </row>
    <row r="100" spans="1:4" x14ac:dyDescent="0.35">
      <c r="A100" s="8" t="s">
        <v>70</v>
      </c>
      <c r="B100" s="13">
        <f>+SUM(B94:B99)</f>
        <v>-22354</v>
      </c>
      <c r="C100" s="13">
        <f>+SUM(C94:C99)</f>
        <v>-14545</v>
      </c>
      <c r="D100" s="13">
        <f>+SUM(D94:D99)</f>
        <v>-4289</v>
      </c>
    </row>
    <row r="101" spans="1:4" x14ac:dyDescent="0.35">
      <c r="A101" s="7" t="s">
        <v>71</v>
      </c>
      <c r="B101" s="12"/>
      <c r="C101" s="12"/>
      <c r="D101" s="12"/>
    </row>
    <row r="102" spans="1:4" x14ac:dyDescent="0.35">
      <c r="A102" s="1" t="s">
        <v>86</v>
      </c>
      <c r="B102" s="12">
        <v>-6223</v>
      </c>
      <c r="C102" s="12">
        <v>-6556</v>
      </c>
      <c r="D102" s="12">
        <v>-3634</v>
      </c>
    </row>
    <row r="103" spans="1:4" x14ac:dyDescent="0.35">
      <c r="A103" s="1" t="s">
        <v>72</v>
      </c>
      <c r="B103" s="12">
        <v>-14841</v>
      </c>
      <c r="C103" s="12">
        <v>-14467</v>
      </c>
      <c r="D103" s="12">
        <v>-14081</v>
      </c>
    </row>
    <row r="104" spans="1:4" x14ac:dyDescent="0.35">
      <c r="A104" s="1" t="s">
        <v>73</v>
      </c>
      <c r="B104" s="12">
        <v>-89402</v>
      </c>
      <c r="C104" s="12">
        <v>-85971</v>
      </c>
      <c r="D104" s="12">
        <v>-72358</v>
      </c>
    </row>
    <row r="105" spans="1:4" x14ac:dyDescent="0.35">
      <c r="A105" s="1" t="s">
        <v>74</v>
      </c>
      <c r="B105" s="12">
        <v>5465</v>
      </c>
      <c r="C105" s="12">
        <v>20393</v>
      </c>
      <c r="D105" s="12">
        <v>16091</v>
      </c>
    </row>
    <row r="106" spans="1:4" x14ac:dyDescent="0.35">
      <c r="A106" s="1" t="s">
        <v>75</v>
      </c>
      <c r="B106" s="12">
        <v>-9543</v>
      </c>
      <c r="C106" s="12">
        <v>-8750</v>
      </c>
      <c r="D106" s="12">
        <v>-12629</v>
      </c>
    </row>
    <row r="107" spans="1:4" x14ac:dyDescent="0.35">
      <c r="A107" s="1" t="s">
        <v>76</v>
      </c>
      <c r="B107" s="12">
        <v>3955</v>
      </c>
      <c r="C107" s="12">
        <v>1022</v>
      </c>
      <c r="D107" s="12">
        <v>-963</v>
      </c>
    </row>
    <row r="108" spans="1:4" x14ac:dyDescent="0.35">
      <c r="A108" s="1" t="s">
        <v>61</v>
      </c>
      <c r="B108" s="12">
        <v>-160</v>
      </c>
      <c r="C108" s="12">
        <v>976</v>
      </c>
      <c r="D108" s="12">
        <v>754</v>
      </c>
    </row>
    <row r="109" spans="1:4" x14ac:dyDescent="0.35">
      <c r="A109" s="8" t="s">
        <v>77</v>
      </c>
      <c r="B109" s="13">
        <f>+SUM(B102:B108)</f>
        <v>-110749</v>
      </c>
      <c r="C109" s="13">
        <f>+SUM(C102:C108)</f>
        <v>-93353</v>
      </c>
      <c r="D109" s="13">
        <f>+SUM(D102:D108)</f>
        <v>-86820</v>
      </c>
    </row>
    <row r="110" spans="1:4" x14ac:dyDescent="0.35">
      <c r="A110" s="8" t="s">
        <v>78</v>
      </c>
      <c r="B110" s="13">
        <f>+B92+B100+B109</f>
        <v>-10952</v>
      </c>
      <c r="C110" s="13">
        <f>+C92+C100+C109</f>
        <v>-3860</v>
      </c>
      <c r="D110" s="13">
        <f>+D92+D100+D109</f>
        <v>-10435</v>
      </c>
    </row>
    <row r="111" spans="1:4" ht="15" thickBot="1" x14ac:dyDescent="0.4">
      <c r="A111" s="9" t="s">
        <v>79</v>
      </c>
      <c r="B111" s="14">
        <v>24977</v>
      </c>
      <c r="C111" s="14">
        <v>35929</v>
      </c>
      <c r="D111" s="14">
        <v>39789</v>
      </c>
    </row>
    <row r="112" spans="1:4" ht="15" thickTop="1" x14ac:dyDescent="0.35">
      <c r="B112" s="12"/>
      <c r="C112" s="12"/>
      <c r="D112" s="12"/>
    </row>
    <row r="113" spans="1:4" x14ac:dyDescent="0.35">
      <c r="A113" t="s">
        <v>80</v>
      </c>
      <c r="B113" s="12"/>
      <c r="C113" s="12"/>
      <c r="D113" s="12"/>
    </row>
    <row r="114" spans="1:4" x14ac:dyDescent="0.35">
      <c r="A114" t="s">
        <v>81</v>
      </c>
      <c r="B114" s="12">
        <v>19573</v>
      </c>
      <c r="C114" s="12">
        <v>25385</v>
      </c>
      <c r="D114" s="12">
        <v>9501</v>
      </c>
    </row>
    <row r="115" spans="1:4" x14ac:dyDescent="0.35">
      <c r="A115" t="s">
        <v>82</v>
      </c>
      <c r="B115" s="12">
        <v>2865</v>
      </c>
      <c r="C115" s="12">
        <v>2687</v>
      </c>
      <c r="D115" s="12">
        <v>3002</v>
      </c>
    </row>
  </sheetData>
  <mergeCells count="6">
    <mergeCell ref="B3:D3"/>
    <mergeCell ref="B33:D33"/>
    <mergeCell ref="B73:D73"/>
    <mergeCell ref="A2:D2"/>
    <mergeCell ref="A32:D32"/>
    <mergeCell ref="A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1" sqref="B51"/>
    </sheetView>
  </sheetViews>
  <sheetFormatPr defaultRowHeight="14.5" x14ac:dyDescent="0.35"/>
  <cols>
    <col min="1" max="1" width="4.6328125" customWidth="1"/>
    <col min="2" max="2" width="44.90625" customWidth="1"/>
    <col min="3" max="5" width="19.6328125" bestFit="1" customWidth="1"/>
    <col min="6" max="6" width="19.0898437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3" t="s">
        <v>23</v>
      </c>
      <c r="D2" s="23"/>
      <c r="E2" s="23"/>
    </row>
    <row r="3" spans="1:10" x14ac:dyDescent="0.35">
      <c r="B3" s="37"/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 t="shared" ref="A5:A13" si="0">+A4+0.1</f>
        <v>1.1000000000000001</v>
      </c>
      <c r="B5" s="1" t="s">
        <v>100</v>
      </c>
      <c r="C5" s="27">
        <f>'Financial Statements'!B43/'Financial Statements'!B57</f>
        <v>0.87935602862672257</v>
      </c>
      <c r="D5" s="27">
        <f>'Financial Statements'!C43/'Financial Statements'!C57</f>
        <v>1.0745531195957954</v>
      </c>
      <c r="E5" s="27">
        <f>'Financial Statements'!D43/'Financial Statements'!D57</f>
        <v>1.3636044481554577</v>
      </c>
    </row>
    <row r="6" spans="1:10" x14ac:dyDescent="0.35">
      <c r="A6" s="18">
        <f t="shared" si="0"/>
        <v>1.2000000000000002</v>
      </c>
      <c r="B6" s="1" t="s">
        <v>101</v>
      </c>
      <c r="C6" s="27">
        <f>('Financial Statements'!B37+'Financial Statements'!B38+'Financial Statements'!B39+'Financial Statements'!B41+'Financial Statements'!B42)/'Financial Statements'!B57</f>
        <v>0.84723539114961488</v>
      </c>
      <c r="D6" s="27">
        <f>('Financial Statements'!C37+'Financial Statements'!C38+'Financial Statements'!C39+'Financial Statements'!C41+'Financial Statements'!C42)/'Financial Statements'!C57</f>
        <v>1.0221149018576519</v>
      </c>
      <c r="E6" s="27">
        <f>('Financial Statements'!D37+'Financial Statements'!D38+'Financial Statements'!D39+'Financial Statements'!D41+'Financial Statements'!D42)/'Financial Statements'!D57</f>
        <v>1.325072111735236</v>
      </c>
    </row>
    <row r="7" spans="1:10" x14ac:dyDescent="0.35">
      <c r="A7" s="18">
        <f t="shared" si="0"/>
        <v>1.3000000000000003</v>
      </c>
      <c r="B7" s="1" t="s">
        <v>102</v>
      </c>
      <c r="C7" s="27">
        <f>('Financial Statements'!B37+'Financial Statements'!B38)/'Financial Statements'!B57</f>
        <v>0.31369900377966253</v>
      </c>
      <c r="D7" s="27">
        <f>('Financial Statements'!C37+'Financial Statements'!C38)/'Financial Statements'!C57</f>
        <v>0.49919111259872012</v>
      </c>
      <c r="E7" s="27">
        <f>('Financial Statements'!D37+'Financial Statements'!D38)/'Financial Statements'!D57</f>
        <v>0.86290230757552755</v>
      </c>
    </row>
    <row r="8" spans="1:10" x14ac:dyDescent="0.35">
      <c r="A8" s="18">
        <f t="shared" si="0"/>
        <v>1.4000000000000004</v>
      </c>
      <c r="B8" s="1" t="s">
        <v>103</v>
      </c>
      <c r="C8" s="27">
        <f>('Financial Statements'!B37+'Financial Statements'!B38+'Financial Statements'!B39+'Financial Statements'!B41)/('Financial Statements'!B17/365)</f>
        <v>776.53403447268477</v>
      </c>
      <c r="D8" s="27">
        <f>('Financial Statements'!C37+'Financial Statements'!C38+'Financial Statements'!C39+'Financial Statements'!C41)/('Financial Statements'!C17/365)</f>
        <v>949.32269236903869</v>
      </c>
      <c r="E8" s="27">
        <f>('Financial Statements'!D37+'Financial Statements'!D38+'Financial Statements'!D39+'Financial Statements'!D41)/('Financial Statements'!D17/365)</f>
        <v>1211.8966587359057</v>
      </c>
    </row>
    <row r="9" spans="1:10" x14ac:dyDescent="0.35">
      <c r="A9" s="18">
        <f t="shared" si="0"/>
        <v>1.5000000000000004</v>
      </c>
      <c r="B9" s="1" t="s">
        <v>104</v>
      </c>
      <c r="C9" s="27">
        <f>'Financial Statements'!B40/'Financial Statements'!B12*365</f>
        <v>8.0756980666171607</v>
      </c>
      <c r="D9" s="27">
        <f>'Financial Statements'!C40/'Financial Statements'!C12*365</f>
        <v>11.27659274770989</v>
      </c>
      <c r="E9" s="27">
        <f>'Financial Statements'!D40/'Financial Statements'!D12*365</f>
        <v>8.7418833562358831</v>
      </c>
    </row>
    <row r="10" spans="1:10" x14ac:dyDescent="0.35">
      <c r="A10" s="18">
        <f t="shared" si="0"/>
        <v>1.6000000000000005</v>
      </c>
      <c r="B10" s="1" t="s">
        <v>105</v>
      </c>
      <c r="C10" s="27">
        <f>'Financial Statements'!B52/'Financial Statements'!B12*365</f>
        <v>104.68527730310539</v>
      </c>
      <c r="D10" s="27">
        <f>'Financial Statements'!C52/'Financial Statements'!C12*365</f>
        <v>93.851071222315596</v>
      </c>
      <c r="E10" s="27">
        <f>'Financial Statements'!D52/'Financial Statements'!D12*365</f>
        <v>91.048189715674198</v>
      </c>
    </row>
    <row r="11" spans="1:10" x14ac:dyDescent="0.35">
      <c r="A11" s="18">
        <f t="shared" si="0"/>
        <v>1.7000000000000006</v>
      </c>
      <c r="B11" s="1" t="s">
        <v>106</v>
      </c>
      <c r="C11" s="27">
        <f>'Financial Statements'!B39/'Financial Statements'!B8*365</f>
        <v>26.087825363656648</v>
      </c>
      <c r="D11" s="27">
        <f>'Financial Statements'!C39/'Financial Statements'!C8*365</f>
        <v>26.219311841713207</v>
      </c>
      <c r="E11" s="27">
        <f>'Financial Statements'!D39/'Financial Statements'!D8*365</f>
        <v>21.433437152796749</v>
      </c>
    </row>
    <row r="12" spans="1:10" x14ac:dyDescent="0.35">
      <c r="A12" s="18">
        <f t="shared" si="0"/>
        <v>1.8000000000000007</v>
      </c>
      <c r="B12" s="1" t="s">
        <v>107</v>
      </c>
      <c r="C12" s="27">
        <f>C9-C10+C11</f>
        <v>-70.521753872831582</v>
      </c>
      <c r="D12" s="27">
        <f t="shared" ref="D12:E12" si="1">D9-D10+D11</f>
        <v>-56.355166632892505</v>
      </c>
      <c r="E12" s="27">
        <f t="shared" si="1"/>
        <v>-60.87286920664156</v>
      </c>
    </row>
    <row r="13" spans="1:10" s="25" customFormat="1" x14ac:dyDescent="0.35">
      <c r="A13" s="31">
        <f t="shared" si="0"/>
        <v>1.9000000000000008</v>
      </c>
      <c r="B13" s="32" t="s">
        <v>108</v>
      </c>
      <c r="C13" s="33">
        <f>C14/'Financial Statements'!B8</f>
        <v>-5.3541721612464753E-2</v>
      </c>
      <c r="D13" s="33">
        <f>D14/'Financial Statements'!C8</f>
        <v>-2.7259531405046784E-2</v>
      </c>
      <c r="E13" s="33">
        <f>E14/'Financial Statements'!D8</f>
        <v>5.1268600987195601E-2</v>
      </c>
    </row>
    <row r="14" spans="1:10" s="25" customFormat="1" x14ac:dyDescent="0.35">
      <c r="A14" s="31"/>
      <c r="B14" s="34" t="s">
        <v>109</v>
      </c>
      <c r="C14" s="35">
        <f>('Financial Statements'!B43-'Financial Statements'!B37)-('Financial Statements'!B57-'Financial Statements'!B56-'Financial Statements'!B55)</f>
        <v>-21113</v>
      </c>
      <c r="D14" s="35">
        <f>('Financial Statements'!C43-'Financial Statements'!C37)-('Financial Statements'!C57-'Financial Statements'!C56-'Financial Statements'!C55)</f>
        <v>-9972</v>
      </c>
      <c r="E14" s="35">
        <f>('Financial Statements'!D43-'Financial Statements'!D37)-('Financial Statements'!D57-'Financial Statements'!D56-'Financial Statements'!D55)</f>
        <v>14074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6" x14ac:dyDescent="0.35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</row>
    <row r="18" spans="1:6" x14ac:dyDescent="0.35">
      <c r="A18" s="18">
        <f>+A17+0.1</f>
        <v>2.2000000000000002</v>
      </c>
      <c r="B18" s="1" t="s">
        <v>111</v>
      </c>
      <c r="C18" s="28">
        <f>'Financial Statements'!B20/'Financial Statements'!B8</f>
        <v>0.30204043334482966</v>
      </c>
      <c r="D18" s="28">
        <f>'Financial Statements'!C20/'Financial Statements'!C8</f>
        <v>0.29852904594373691</v>
      </c>
      <c r="E18" s="28">
        <f>'Financial Statements'!D20/'Financial Statements'!D8</f>
        <v>0.24439830246070343</v>
      </c>
    </row>
    <row r="19" spans="1:6" x14ac:dyDescent="0.35">
      <c r="A19" s="18"/>
      <c r="B19" s="3" t="s">
        <v>112</v>
      </c>
      <c r="C19" s="27">
        <f>'Financial Statements'!B20</f>
        <v>119103</v>
      </c>
      <c r="D19" s="27">
        <f>'Financial Statements'!C20</f>
        <v>109207</v>
      </c>
      <c r="E19" s="27">
        <f>'Financial Statements'!D20</f>
        <v>67091</v>
      </c>
    </row>
    <row r="20" spans="1:6" x14ac:dyDescent="0.35">
      <c r="A20" s="18">
        <f>+A18+0.1</f>
        <v>2.3000000000000003</v>
      </c>
      <c r="B20" s="1" t="s">
        <v>113</v>
      </c>
      <c r="C20" s="28">
        <f>'Financial Statements'!B20/'Financial Statements'!B8</f>
        <v>0.30204043334482966</v>
      </c>
      <c r="D20" s="28">
        <f>'Financial Statements'!C20/'Financial Statements'!C8</f>
        <v>0.29852904594373691</v>
      </c>
      <c r="E20" s="28">
        <f>'Financial Statements'!D20/'Financial Statements'!D8</f>
        <v>0.24439830246070343</v>
      </c>
    </row>
    <row r="21" spans="1:6" x14ac:dyDescent="0.35">
      <c r="A21" s="18"/>
      <c r="B21" s="3" t="s">
        <v>114</v>
      </c>
      <c r="C21" s="27">
        <f>'Financial Statements'!B20</f>
        <v>119103</v>
      </c>
      <c r="D21" s="27">
        <f>'Financial Statements'!C20</f>
        <v>109207</v>
      </c>
      <c r="E21" s="27">
        <f>'Financial Statements'!D20</f>
        <v>67091</v>
      </c>
    </row>
    <row r="22" spans="1:6" x14ac:dyDescent="0.35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</row>
    <row r="23" spans="1:6" x14ac:dyDescent="0.35">
      <c r="A23" s="18"/>
    </row>
    <row r="24" spans="1:6" x14ac:dyDescent="0.35">
      <c r="A24" s="18">
        <f>+A16+1</f>
        <v>3</v>
      </c>
      <c r="B24" s="7" t="s">
        <v>116</v>
      </c>
    </row>
    <row r="25" spans="1:6" x14ac:dyDescent="0.35">
      <c r="A25" s="18">
        <f t="shared" ref="A25:A30" si="2">+A24+0.1</f>
        <v>3.1</v>
      </c>
      <c r="B25" s="1" t="s">
        <v>117</v>
      </c>
      <c r="C25" s="27">
        <f>('Financial Statements'!B62+'Financial Statements'!B56+'Financial Statements'!B55)/'Financial Statements'!B69</f>
        <v>3.3393392800757815</v>
      </c>
      <c r="D25" s="27">
        <f>('Financial Statements'!C62+'Financial Statements'!C56+'Financial Statements'!C55)/'Financial Statements'!C69</f>
        <v>2.8220637184973847</v>
      </c>
      <c r="E25" s="27">
        <f>('Financial Statements'!D62+'Financial Statements'!D56+'Financial Statements'!D55)/'Financial Statements'!D69</f>
        <v>2.554768208879842</v>
      </c>
    </row>
    <row r="26" spans="1:6" x14ac:dyDescent="0.35">
      <c r="A26" s="18">
        <f t="shared" si="2"/>
        <v>3.2</v>
      </c>
      <c r="B26" s="1" t="s">
        <v>118</v>
      </c>
      <c r="C26" s="27">
        <f>('Financial Statements'!B62+'Financial Statements'!B56+'Financial Statements'!B55)/'Financial Statements'!B49</f>
        <v>0.47968420008221002</v>
      </c>
      <c r="D26" s="27">
        <f>('Financial Statements'!C62+'Financial Statements'!C56+'Financial Statements'!C55)/'Financial Statements'!C49</f>
        <v>0.50724497296311699</v>
      </c>
      <c r="E26" s="27">
        <f>('Financial Statements'!D62+'Financial Statements'!D56+'Financial Statements'!D55)/'Financial Statements'!D49</f>
        <v>0.51538186039618639</v>
      </c>
    </row>
    <row r="27" spans="1:6" x14ac:dyDescent="0.35">
      <c r="A27" s="18">
        <f t="shared" si="2"/>
        <v>3.3000000000000003</v>
      </c>
      <c r="B27" s="1" t="s">
        <v>119</v>
      </c>
      <c r="C27" s="27">
        <f>'Financial Statements'!B62/('Financial Statements'!B62+'Financial Statements'!B56+'Financial Statements'!B55+'Financial Statements'!B69)</f>
        <v>0.673544566883297</v>
      </c>
      <c r="D27" s="27">
        <f>'Financial Statements'!C62/('Financial Statements'!C62+'Financial Statements'!C56+'Financial Statements'!C55+'Financial Statements'!C69)</f>
        <v>0.67361301185233102</v>
      </c>
      <c r="E27" s="27">
        <f>'Financial Statements'!D62/('Financial Statements'!D62+'Financial Statements'!D56+'Financial Statements'!D55+'Financial Statements'!D69)</f>
        <v>0.65940628161797943</v>
      </c>
    </row>
    <row r="28" spans="1:6" x14ac:dyDescent="0.35">
      <c r="A28" s="18">
        <f t="shared" si="2"/>
        <v>3.4000000000000004</v>
      </c>
      <c r="B28" s="1" t="s">
        <v>120</v>
      </c>
      <c r="C28" s="29" t="s">
        <v>152</v>
      </c>
      <c r="D28" s="29" t="s">
        <v>152</v>
      </c>
      <c r="E28" s="29" t="s">
        <v>152</v>
      </c>
    </row>
    <row r="29" spans="1:6" x14ac:dyDescent="0.35">
      <c r="A29" s="18">
        <f t="shared" si="2"/>
        <v>3.5000000000000004</v>
      </c>
      <c r="B29" s="1" t="s">
        <v>121</v>
      </c>
      <c r="C29" s="27">
        <f>'Financial Statements'!B20/-'Financial Statements'!B106</f>
        <v>12.480666457088965</v>
      </c>
      <c r="D29" s="27">
        <f>'Financial Statements'!C20/-'Financial Statements'!C106</f>
        <v>12.4808</v>
      </c>
      <c r="E29" s="27">
        <f>'Financial Statements'!D20/-'Financial Statements'!D106</f>
        <v>5.3124554596563467</v>
      </c>
    </row>
    <row r="30" spans="1:6" x14ac:dyDescent="0.35">
      <c r="A30" s="18">
        <f t="shared" si="2"/>
        <v>3.6000000000000005</v>
      </c>
      <c r="B30" s="1" t="s">
        <v>122</v>
      </c>
      <c r="C30" s="30">
        <f>C31/'Financial Statements'!B27*1000</f>
        <v>6.5089566373578922</v>
      </c>
      <c r="D30" s="30">
        <f>D31/'Financial Statements'!C27*1000</f>
        <v>5.1009288394321102</v>
      </c>
      <c r="E30" s="30">
        <f>E31/'Financial Statements'!D27*1000</f>
        <v>3.3568810817860344</v>
      </c>
    </row>
    <row r="31" spans="1:6" x14ac:dyDescent="0.35">
      <c r="A31" s="18"/>
      <c r="B31" s="3" t="s">
        <v>123</v>
      </c>
      <c r="C31" s="27">
        <f>'Financial Statements'!B92+'Financial Statements'!B97+'Financial Statements'!B98+'Financial Statements'!B106+'Financial Statements'!B107</f>
        <v>105549</v>
      </c>
      <c r="D31" s="27">
        <f>'Financial Statements'!C92+'Financial Statements'!C97+'Financial Statements'!C98+'Financial Statements'!C106+'Financial Statements'!C107</f>
        <v>85192</v>
      </c>
      <c r="E31" s="27">
        <f>'Financial Statements'!D92+'Financial Statements'!D97+'Financial Statements'!D98+'Financial Statements'!D106+'Financial Statements'!D107</f>
        <v>58249</v>
      </c>
      <c r="F31" t="s">
        <v>154</v>
      </c>
    </row>
    <row r="32" spans="1:6" x14ac:dyDescent="0.35">
      <c r="A32" s="18"/>
    </row>
    <row r="33" spans="1:6" x14ac:dyDescent="0.35">
      <c r="A33" s="18">
        <f>+A24+1</f>
        <v>4</v>
      </c>
      <c r="B33" s="17" t="s">
        <v>124</v>
      </c>
    </row>
    <row r="34" spans="1:6" x14ac:dyDescent="0.35">
      <c r="A34" s="18">
        <f>+A33+0.1</f>
        <v>4.0999999999999996</v>
      </c>
      <c r="B34" s="1" t="s">
        <v>125</v>
      </c>
      <c r="C34" s="27">
        <f>'Financial Statements'!B8/'Financial Statements'!B49</f>
        <v>1.1178523337727317</v>
      </c>
      <c r="D34" s="27">
        <f>'Financial Statements'!C8/AVERAGE('Financial Statements'!C49,'Financial Statements'!B49)</f>
        <v>1.0396116841466585</v>
      </c>
      <c r="E34" s="27">
        <f>'Financial Statements'!D8/AVERAGE('Financial Statements'!D49,'Financial Statements'!C49)</f>
        <v>0.81351034983478787</v>
      </c>
    </row>
    <row r="35" spans="1:6" x14ac:dyDescent="0.35">
      <c r="A35" s="18">
        <f>+A34+0.1</f>
        <v>4.1999999999999993</v>
      </c>
      <c r="B35" s="1" t="s">
        <v>126</v>
      </c>
      <c r="C35" s="27">
        <f>'Financial Statements'!B48/'Financial Statements'!B49</f>
        <v>0.61615001913509371</v>
      </c>
      <c r="D35" s="27">
        <f>'Financial Statements'!C8/AVERAGE('Financial Statements'!C49,'Financial Statements'!B49)</f>
        <v>1.0396116841466585</v>
      </c>
      <c r="E35" s="27">
        <f>'Financial Statements'!D8/AVERAGE('Financial Statements'!D49,'Financial Statements'!C49)</f>
        <v>0.81351034983478787</v>
      </c>
    </row>
    <row r="36" spans="1:6" x14ac:dyDescent="0.35">
      <c r="A36" s="18">
        <f>+A35+0.1</f>
        <v>4.2999999999999989</v>
      </c>
      <c r="B36" s="1" t="s">
        <v>127</v>
      </c>
      <c r="C36" s="27">
        <f>'Financial Statements'!B12/'Financial Statements'!B40</f>
        <v>45.197331176708452</v>
      </c>
      <c r="D36" s="27">
        <f>'Financial Statements'!C12/AVERAGE('Financial Statements'!C40,'Financial Statements'!B40)</f>
        <v>36.95661981606802</v>
      </c>
      <c r="E36" s="27">
        <f>'Financial Statements'!D12/AVERAGE('Financial Statements'!D40,'Financial Statements'!C40)</f>
        <v>31.868997274692227</v>
      </c>
    </row>
    <row r="37" spans="1:6" x14ac:dyDescent="0.35">
      <c r="A37" s="18">
        <f>+A36+0.1</f>
        <v>4.3999999999999986</v>
      </c>
      <c r="B37" s="1" t="s">
        <v>128</v>
      </c>
      <c r="C37" s="27">
        <f>'Financial Statements'!B22/'Financial Statements'!B49</f>
        <v>0.28292440929256851</v>
      </c>
      <c r="D37" s="27">
        <f>'Financial Statements'!C22/AVERAGE('Financial Statements'!C49,'Financial Statements'!B49)</f>
        <v>0.26907014779249089</v>
      </c>
      <c r="E37" s="27">
        <f>'Financial Statements'!D22/AVERAGE('Financial Statements'!D49,'Financial Statements'!C49)</f>
        <v>0.17013439227133312</v>
      </c>
    </row>
    <row r="38" spans="1:6" x14ac:dyDescent="0.35">
      <c r="A38" s="18"/>
    </row>
    <row r="39" spans="1:6" x14ac:dyDescent="0.35">
      <c r="A39" s="18">
        <f>+A33+1</f>
        <v>5</v>
      </c>
      <c r="B39" s="17" t="s">
        <v>129</v>
      </c>
    </row>
    <row r="40" spans="1:6" x14ac:dyDescent="0.35">
      <c r="A40" s="18">
        <f>+A39+0.1</f>
        <v>5.0999999999999996</v>
      </c>
      <c r="B40" s="1" t="s">
        <v>130</v>
      </c>
      <c r="C40" s="27">
        <f>'Financial Statements'!B30/'Financial Statements'!B24</f>
        <v>22.471544715447152</v>
      </c>
      <c r="D40" s="27">
        <f>'Financial Statements'!C30/'Financial Statements'!C24</f>
        <v>24.955908289241624</v>
      </c>
      <c r="E40" s="27">
        <f>'Financial Statements'!D30/'Financial Statements'!D24</f>
        <v>34.987915407854985</v>
      </c>
    </row>
    <row r="41" spans="1:6" x14ac:dyDescent="0.35">
      <c r="A41" s="18">
        <f>+A40+0.1</f>
        <v>5.1999999999999993</v>
      </c>
      <c r="B41" s="3" t="s">
        <v>131</v>
      </c>
      <c r="C41" s="27">
        <f>'Financial Statements'!B24</f>
        <v>6.15</v>
      </c>
      <c r="D41" s="27">
        <f>'Financial Statements'!C24</f>
        <v>5.67</v>
      </c>
      <c r="E41" s="27">
        <f>'Financial Statements'!D24</f>
        <v>3.31</v>
      </c>
    </row>
    <row r="42" spans="1:6" x14ac:dyDescent="0.35">
      <c r="A42" s="18">
        <f>+A41+0.1</f>
        <v>5.2999999999999989</v>
      </c>
      <c r="B42" s="1" t="s">
        <v>132</v>
      </c>
      <c r="C42" s="27">
        <f>('Financial Statements'!B30*'Financial Statements'!B27/1000)/'Financial Statements'!B69</f>
        <v>44.226517338964321</v>
      </c>
      <c r="D42" s="27">
        <f>('Financial Statements'!C30*'Financial Statements'!C27/1000)/'Financial Statements'!C69</f>
        <v>37.458075574576</v>
      </c>
      <c r="E42" s="27">
        <f>('Financial Statements'!D30*'Financial Statements'!D27/1000)/'Financial Statements'!D69</f>
        <v>30.755733962717521</v>
      </c>
    </row>
    <row r="43" spans="1:6" x14ac:dyDescent="0.35">
      <c r="A43" s="18">
        <f>+A42+0.1</f>
        <v>5.3999999999999986</v>
      </c>
      <c r="B43" s="3" t="s">
        <v>133</v>
      </c>
      <c r="C43" s="27">
        <f>'Financial Statements'!B69/'Financial Statements'!B27*1000</f>
        <v>3.124822127430853</v>
      </c>
      <c r="D43" s="27">
        <f>'Financial Statements'!C69/'Financial Statements'!C27*1000</f>
        <v>3.7775565837141025</v>
      </c>
      <c r="E43" s="27">
        <f>'Financial Statements'!D69/'Financial Statements'!D27*1000</f>
        <v>3.765476712094932</v>
      </c>
    </row>
    <row r="44" spans="1:6" x14ac:dyDescent="0.35">
      <c r="A44" s="18">
        <f>+A43+0.1</f>
        <v>5.4999999999999982</v>
      </c>
      <c r="B44" s="1" t="s">
        <v>134</v>
      </c>
      <c r="C44" s="27">
        <f>-'Financial Statements'!B103/'Financial Statements'!B22</f>
        <v>0.14870294480125848</v>
      </c>
      <c r="D44" s="27">
        <f>-'Financial Statements'!C103/'Financial Statements'!C22</f>
        <v>0.15279890156316012</v>
      </c>
      <c r="E44" s="27">
        <f>-'Financial Statements'!D103/'Financial Statements'!D22</f>
        <v>0.24526658654264863</v>
      </c>
    </row>
    <row r="45" spans="1:6" x14ac:dyDescent="0.35">
      <c r="A45" s="18"/>
      <c r="B45" s="3" t="s">
        <v>135</v>
      </c>
      <c r="C45" s="27">
        <f>-'Financial Statements'!B103*1000/'Financial Statements'!B27</f>
        <v>0.91520929099307891</v>
      </c>
      <c r="D45" s="27">
        <f>-'Financial Statements'!C103*1000/'Financial Statements'!C27</f>
        <v>0.86622144708498849</v>
      </c>
      <c r="E45" s="27">
        <f>-'Financial Statements'!D103*1000/'Financial Statements'!D27</f>
        <v>0.81148590555424382</v>
      </c>
      <c r="F45" t="s">
        <v>155</v>
      </c>
    </row>
    <row r="46" spans="1:6" x14ac:dyDescent="0.35">
      <c r="A46" s="18">
        <f>+A44+0.1</f>
        <v>5.5999999999999979</v>
      </c>
      <c r="B46" s="1" t="s">
        <v>136</v>
      </c>
      <c r="C46" s="28">
        <f>C45/'Financial Statements'!B30</f>
        <v>6.6223537698486181E-3</v>
      </c>
      <c r="D46" s="28">
        <f>D45/'Financial Statements'!C30</f>
        <v>6.1217063398232401E-3</v>
      </c>
      <c r="E46" s="28">
        <f>E45/'Financial Statements'!D30</f>
        <v>7.0070452081361177E-3</v>
      </c>
    </row>
    <row r="47" spans="1:6" x14ac:dyDescent="0.35">
      <c r="A47" s="18">
        <f>+A45+0.1</f>
        <v>0.1</v>
      </c>
      <c r="B47" s="1" t="s">
        <v>137</v>
      </c>
      <c r="C47" s="27">
        <f>'Financial Statements'!B22/'Financial Statements'!B69</f>
        <v>1.9695887275023682</v>
      </c>
      <c r="D47" s="27">
        <f>'Financial Statements'!C22/'Financial Statements'!C69</f>
        <v>1.5007132667617689</v>
      </c>
      <c r="E47" s="27">
        <f>'Financial Statements'!D22/'Financial Statements'!D69</f>
        <v>0.87866358530127486</v>
      </c>
    </row>
    <row r="48" spans="1:6" x14ac:dyDescent="0.35">
      <c r="A48" s="18">
        <f>+A46+0.1</f>
        <v>5.6999999999999975</v>
      </c>
      <c r="B48" s="1" t="s">
        <v>138</v>
      </c>
      <c r="C48" s="26">
        <f>'Financial Statements'!B18/('Financial Statements'!B62+'Financial Statements'!B55+'Financial Statements'!B56+'Financial Statements'!B69)</f>
        <v>0.54318432984814646</v>
      </c>
      <c r="D48" s="26">
        <f>'Financial Statements'!C18/('Financial Statements'!C62+'Financial Statements'!C55+'Financial Statements'!C56+'Financial Statements'!C69)</f>
        <v>0.4518193203778812</v>
      </c>
      <c r="E48" s="26">
        <f>'Financial Statements'!D18/('Financial Statements'!D62+'Financial Statements'!D55+'Financial Statements'!D56+'Financial Statements'!D69)</f>
        <v>0.285398144360967</v>
      </c>
    </row>
    <row r="49" spans="1:6" x14ac:dyDescent="0.35">
      <c r="A49" s="18">
        <f>+A47+0.1</f>
        <v>0.2</v>
      </c>
      <c r="B49" s="1" t="s">
        <v>128</v>
      </c>
      <c r="C49" s="27">
        <f>'Financial Statements'!B22/'Financial Statements'!B49</f>
        <v>0.28292440929256851</v>
      </c>
      <c r="D49" s="27">
        <f>'Financial Statements'!C22/'Financial Statements'!C49</f>
        <v>0.26974205275183616</v>
      </c>
      <c r="E49" s="27">
        <f>'Financial Statements'!D22/'Financial Statements'!D49</f>
        <v>0.1772557180259843</v>
      </c>
    </row>
    <row r="50" spans="1:6" x14ac:dyDescent="0.35">
      <c r="A50" s="18">
        <f>+A48+0.1</f>
        <v>5.7999999999999972</v>
      </c>
      <c r="B50" s="1" t="s">
        <v>139</v>
      </c>
      <c r="C50" s="27">
        <f>C51/C19</f>
        <v>18.814414662938802</v>
      </c>
      <c r="D50" s="27">
        <f t="shared" ref="D50:E50" si="3">D51/D19</f>
        <v>21.637962804582127</v>
      </c>
      <c r="E50" s="27">
        <f t="shared" si="3"/>
        <v>29.949530628400233</v>
      </c>
    </row>
    <row r="51" spans="1:6" x14ac:dyDescent="0.35">
      <c r="A51" s="18"/>
      <c r="B51" s="3" t="s">
        <v>140</v>
      </c>
      <c r="C51" s="36">
        <f>(('Financial Statements'!B27*1000*'Financial Statements'!B30)-(('Financial Statements'!B62+'Financial Statements'!B56+'Financial Statements'!B55)*1000)-('Financial Statements'!B37*1000))/1000000</f>
        <v>2240853.2296000002</v>
      </c>
      <c r="D51" s="36">
        <f>(('Financial Statements'!C27*1000*'Financial Statements'!C30)-(('Financial Statements'!C62+'Financial Statements'!C56+'Financial Statements'!C55)*1000)-('Financial Statements'!C37*1000))/1000000</f>
        <v>2363017.0040000002</v>
      </c>
      <c r="E51" s="36">
        <f>(('Financial Statements'!D27*1000*'Financial Statements'!D30)-(('Financial Statements'!D62+'Financial Statements'!D56+'Financial Statements'!D55)*1000)-('Financial Statements'!D37*1000))/1000000</f>
        <v>2009343.95939</v>
      </c>
      <c r="F51" t="s">
        <v>154</v>
      </c>
    </row>
  </sheetData>
  <mergeCells count="1">
    <mergeCell ref="C2:E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Edna Mugambi</cp:lastModifiedBy>
  <dcterms:created xsi:type="dcterms:W3CDTF">2020-05-18T16:32:37Z</dcterms:created>
  <dcterms:modified xsi:type="dcterms:W3CDTF">2024-09-10T14:56:26Z</dcterms:modified>
</cp:coreProperties>
</file>