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vinaylakhera/Desktop/"/>
    </mc:Choice>
  </mc:AlternateContent>
  <xr:revisionPtr revIDLastSave="0" documentId="13_ncr:1_{B9694335-106F-B649-96D9-2A72418CCEDB}" xr6:coauthVersionLast="47" xr6:coauthVersionMax="47" xr10:uidLastSave="{00000000-0000-0000-0000-000000000000}"/>
  <bookViews>
    <workbookView xWindow="28800" yWindow="500" windowWidth="38400" windowHeight="2018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3" l="1"/>
  <c r="E54" i="3"/>
  <c r="E51" i="3" s="1"/>
  <c r="E50" i="3" s="1"/>
  <c r="C54" i="3"/>
  <c r="C51" i="3" s="1"/>
  <c r="C50" i="3" s="1"/>
  <c r="B147" i="1"/>
  <c r="D37" i="3"/>
  <c r="E37" i="3"/>
  <c r="D35" i="3"/>
  <c r="E35" i="3"/>
  <c r="C35" i="3"/>
  <c r="D5" i="3"/>
  <c r="C5" i="3"/>
  <c r="B38" i="1"/>
  <c r="B20" i="1"/>
  <c r="C86" i="1"/>
  <c r="B86" i="1"/>
  <c r="C11" i="1"/>
  <c r="B11" i="1"/>
  <c r="C95" i="1"/>
  <c r="B95" i="1"/>
  <c r="C93" i="1"/>
  <c r="B93" i="1"/>
  <c r="C84" i="1"/>
  <c r="B84" i="1"/>
  <c r="C78" i="1"/>
  <c r="B78" i="1"/>
  <c r="C69" i="1"/>
  <c r="B69" i="1"/>
  <c r="C67" i="1"/>
  <c r="B67" i="1"/>
  <c r="C61" i="1"/>
  <c r="B61" i="1"/>
  <c r="C27" i="1"/>
  <c r="B27" i="1"/>
  <c r="C24" i="1"/>
  <c r="B24" i="1"/>
  <c r="C19" i="1"/>
  <c r="B19" i="1"/>
  <c r="C9" i="1"/>
  <c r="B9" i="1"/>
  <c r="C7" i="1"/>
  <c r="B7" i="1"/>
  <c r="D30" i="3"/>
  <c r="E30" i="3"/>
  <c r="C30" i="3"/>
  <c r="D31" i="3"/>
  <c r="E31" i="3"/>
  <c r="C31" i="3"/>
  <c r="D50" i="3"/>
  <c r="D51" i="3"/>
  <c r="D49" i="3"/>
  <c r="E49" i="3"/>
  <c r="C49" i="3"/>
  <c r="D48" i="3"/>
  <c r="E48" i="3"/>
  <c r="C48" i="3"/>
  <c r="C147" i="1"/>
  <c r="D147" i="1"/>
  <c r="D47" i="3"/>
  <c r="E47" i="3"/>
  <c r="C47" i="3"/>
  <c r="D46" i="3"/>
  <c r="E46" i="3"/>
  <c r="C46" i="3"/>
  <c r="D40" i="3"/>
  <c r="E40" i="3"/>
  <c r="C40" i="3"/>
  <c r="D44" i="3"/>
  <c r="E44" i="3"/>
  <c r="C44" i="3"/>
  <c r="D45" i="3"/>
  <c r="E45" i="3"/>
  <c r="C45" i="3"/>
  <c r="D43" i="3"/>
  <c r="D42" i="3" s="1"/>
  <c r="E43" i="3"/>
  <c r="C43" i="3"/>
  <c r="E42" i="3"/>
  <c r="C42" i="3"/>
  <c r="D41" i="3"/>
  <c r="E41" i="3"/>
  <c r="C41" i="3"/>
  <c r="C37" i="3"/>
  <c r="D36" i="3"/>
  <c r="E36" i="3"/>
  <c r="C36" i="3"/>
  <c r="E34" i="3"/>
  <c r="D34" i="3"/>
  <c r="C34" i="3"/>
  <c r="D29" i="3"/>
  <c r="E29" i="3"/>
  <c r="C29" i="3"/>
  <c r="D28" i="3"/>
  <c r="E28" i="3"/>
  <c r="C28" i="3"/>
  <c r="D26" i="3"/>
  <c r="E26" i="3"/>
  <c r="D27" i="3"/>
  <c r="E27" i="3"/>
  <c r="C27" i="3"/>
  <c r="C26" i="3"/>
  <c r="D25" i="3"/>
  <c r="E25" i="3"/>
  <c r="C25" i="3"/>
  <c r="D17" i="3"/>
  <c r="E17" i="3"/>
  <c r="D19" i="3"/>
  <c r="D18" i="3" s="1"/>
  <c r="E19" i="3"/>
  <c r="E18" i="3" s="1"/>
  <c r="D20" i="3"/>
  <c r="D21" i="3"/>
  <c r="E21" i="3"/>
  <c r="E20" i="3" s="1"/>
  <c r="D22" i="3"/>
  <c r="E22" i="3"/>
  <c r="C22" i="3"/>
  <c r="C20" i="3"/>
  <c r="C18" i="3"/>
  <c r="C17" i="3"/>
  <c r="C21" i="3"/>
  <c r="C19" i="3"/>
  <c r="C31" i="1"/>
  <c r="D31" i="1"/>
  <c r="B31" i="1"/>
  <c r="C32" i="1"/>
  <c r="D32" i="1"/>
  <c r="B32" i="1"/>
  <c r="C144" i="1" l="1"/>
  <c r="D144" i="1"/>
  <c r="B144" i="1"/>
  <c r="D134" i="1"/>
  <c r="C134" i="1"/>
  <c r="B134" i="1"/>
  <c r="D125" i="1"/>
  <c r="C125" i="1"/>
  <c r="B125" i="1"/>
  <c r="D92" i="1" l="1"/>
  <c r="C92" i="1"/>
  <c r="B92" i="1"/>
  <c r="D83" i="1"/>
  <c r="C83" i="1"/>
  <c r="B83" i="1"/>
  <c r="D77" i="1"/>
  <c r="C77" i="1"/>
  <c r="B77" i="1"/>
  <c r="D66" i="1"/>
  <c r="C66" i="1"/>
  <c r="B66" i="1"/>
  <c r="D60" i="1"/>
  <c r="C60" i="1"/>
  <c r="B60" i="1"/>
  <c r="D29" i="1"/>
  <c r="E8" i="3" s="1"/>
  <c r="C29" i="1"/>
  <c r="D8" i="3" s="1"/>
  <c r="B29" i="1"/>
  <c r="C8" i="3" s="1"/>
  <c r="D15" i="1"/>
  <c r="C15" i="1"/>
  <c r="B15" i="1"/>
  <c r="D10" i="1"/>
  <c r="C10" i="1"/>
  <c r="B10" i="1"/>
  <c r="E3" i="3"/>
  <c r="D3" i="3"/>
  <c r="C3" i="3"/>
  <c r="D51" i="1"/>
  <c r="D99" i="1" s="1"/>
  <c r="C51" i="1"/>
  <c r="C99" i="1" s="1"/>
  <c r="B51" i="1"/>
  <c r="B99" i="1" s="1"/>
  <c r="D14" i="3" l="1"/>
  <c r="D13" i="3" s="1"/>
  <c r="E5" i="3"/>
  <c r="E14" i="3"/>
  <c r="E13" i="3" s="1"/>
  <c r="C11" i="3"/>
  <c r="B143" i="1"/>
  <c r="D6" i="3"/>
  <c r="D7" i="3"/>
  <c r="D11" i="3"/>
  <c r="C143" i="1"/>
  <c r="C14" i="3"/>
  <c r="C13" i="3" s="1"/>
  <c r="E7" i="3"/>
  <c r="E6" i="3"/>
  <c r="C10" i="3"/>
  <c r="C9" i="3"/>
  <c r="C12" i="3" s="1"/>
  <c r="E9" i="3"/>
  <c r="E10" i="3"/>
  <c r="D10" i="3"/>
  <c r="D9" i="3"/>
  <c r="E11" i="3"/>
  <c r="D143" i="1"/>
  <c r="C7" i="3"/>
  <c r="C6" i="3"/>
  <c r="C16" i="1"/>
  <c r="B25" i="1"/>
  <c r="B28" i="1"/>
  <c r="C25" i="1"/>
  <c r="C28" i="1"/>
  <c r="D25" i="1"/>
  <c r="D28" i="1"/>
  <c r="B16" i="1"/>
  <c r="D16" i="1"/>
  <c r="C85" i="1"/>
  <c r="D18" i="1"/>
  <c r="B68" i="1"/>
  <c r="B18" i="1"/>
  <c r="C18" i="1"/>
  <c r="B85" i="1"/>
  <c r="C68" i="1"/>
  <c r="D85" i="1"/>
  <c r="D6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B94" i="1" l="1"/>
  <c r="C20" i="1"/>
  <c r="E12" i="3"/>
  <c r="D12" i="3"/>
  <c r="B33" i="1"/>
  <c r="D33" i="1"/>
  <c r="D20" i="1"/>
  <c r="D94" i="1"/>
  <c r="C94" i="1"/>
  <c r="C33" i="1"/>
  <c r="A24" i="3"/>
  <c r="A25" i="3" s="1"/>
  <c r="A26" i="3" s="1"/>
  <c r="A27" i="3" s="1"/>
  <c r="A28" i="3" s="1"/>
  <c r="A29" i="3" s="1"/>
  <c r="A30" i="3" s="1"/>
  <c r="C36" i="1" l="1"/>
  <c r="C34" i="1"/>
  <c r="D36" i="1"/>
  <c r="D34" i="1"/>
  <c r="B36" i="1"/>
  <c r="B34" i="1"/>
  <c r="A33" i="3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  <c r="B39" i="1"/>
  <c r="D39" i="1"/>
  <c r="D102" i="1" s="1"/>
  <c r="D117" i="1" s="1"/>
  <c r="D135" i="1" s="1"/>
  <c r="D38" i="1"/>
  <c r="C39" i="1"/>
  <c r="C102" i="1" s="1"/>
  <c r="C117" i="1" s="1"/>
  <c r="C135" i="1" s="1"/>
  <c r="C38" i="1"/>
  <c r="B102" i="1"/>
  <c r="B117" i="1" s="1"/>
  <c r="B135" i="1" s="1"/>
  <c r="B40" i="1"/>
  <c r="C40" i="1" l="1"/>
  <c r="D40" i="1"/>
</calcChain>
</file>

<file path=xl/sharedStrings.xml><?xml version="1.0" encoding="utf-8"?>
<sst xmlns="http://schemas.openxmlformats.org/spreadsheetml/2006/main" count="202" uniqueCount="161">
  <si>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</si>
  <si>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</si>
  <si>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</si>
  <si>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</si>
  <si>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</si>
  <si>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</si>
  <si>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</si>
  <si>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</si>
  <si>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</si>
  <si>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</si>
  <si>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</si>
  <si>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</si>
  <si>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</si>
  <si>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</si>
  <si>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</si>
  <si>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</si>
  <si>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</si>
  <si>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</si>
  <si>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</si>
  <si>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</si>
  <si>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</si>
  <si>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</si>
  <si>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</si>
  <si>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</si>
  <si>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</si>
  <si>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</si>
  <si>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</si>
  <si>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</si>
  <si>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</si>
  <si>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</si>
  <si>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</si>
  <si>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</si>
  <si>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</si>
  <si>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</si>
  <si>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</si>
  <si>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</si>
  <si>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</si>
  <si>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</si>
  <si>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</si>
  <si>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</si>
  <si>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</si>
  <si>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</si>
  <si>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</si>
  <si>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</si>
  <si>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</si>
  <si>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</si>
  <si>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</si>
  <si>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</si>
  <si>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</si>
  <si>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</si>
  <si>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</si>
  <si>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</si>
  <si>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</si>
  <si>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</si>
  <si>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</si>
  <si>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</si>
  <si>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</si>
  <si>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</si>
  <si>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</si>
  <si>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</si>
  <si>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</si>
  <si>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</si>
  <si>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</si>
  <si>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</si>
  <si>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</si>
  <si>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</si>
  <si>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</si>
  <si>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</si>
  <si>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</si>
  <si>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</si>
  <si>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</si>
  <si>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</si>
  <si>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</si>
  <si>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</si>
  <si>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</si>
  <si>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</si>
  <si>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</si>
  <si>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</si>
  <si>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</si>
  <si>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</si>
  <si>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</si>
  <si>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</si>
  <si>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</si>
  <si>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</si>
  <si>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</si>
  <si>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</si>
  <si>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</si>
  <si>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</si>
  <si>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</si>
  <si>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</si>
  <si>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</si>
  <si>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</si>
  <si>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</si>
  <si>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</si>
  <si>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</si>
  <si>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</si>
  <si>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</si>
  <si>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</si>
  <si>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</si>
  <si>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</si>
  <si>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</si>
  <si>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</si>
  <si>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</si>
  <si>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</si>
  <si>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</si>
  <si>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</si>
  <si>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</si>
  <si>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</si>
  <si>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</si>
  <si>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</si>
  <si>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</si>
  <si>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</si>
  <si>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</si>
  <si>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</si>
  <si>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</si>
  <si>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</si>
  <si>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</si>
  <si>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</si>
  <si>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</si>
  <si>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</si>
  <si>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</si>
  <si>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</si>
  <si>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</si>
  <si>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</si>
  <si>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</si>
  <si>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</si>
  <si>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</si>
  <si>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</si>
  <si>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</si>
  <si>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</si>
  <si>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</si>
  <si>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</si>
  <si>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</si>
  <si>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</si>
  <si>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</si>
  <si>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</si>
  <si>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</si>
  <si>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</si>
  <si>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</si>
  <si>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</si>
  <si>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</si>
  <si>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</si>
  <si>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</si>
  <si>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</si>
  <si>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</si>
  <si>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</si>
  <si>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</si>
  <si>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</si>
  <si>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</si>
  <si>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</t>
  </si>
  <si>
    <t>COGS as % of sales</t>
  </si>
  <si>
    <t>As % of sales</t>
  </si>
  <si>
    <t>As % of Sales</t>
  </si>
  <si>
    <t>Tax rate</t>
  </si>
  <si>
    <t>Calculations:</t>
  </si>
  <si>
    <t>Working Capital-Simple (not net working capital)</t>
  </si>
  <si>
    <t>Price per share (31st dec)</t>
  </si>
  <si>
    <t>Capital employeed</t>
  </si>
  <si>
    <t>Market cap(in millions)</t>
  </si>
  <si>
    <t>Growth</t>
  </si>
  <si>
    <t>Gross margin(as % of sales)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</si>
</sst>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4" fontId="2" fillId="0" borderId="0" xfId="1" applyNumberFormat="1" applyFont="1" applyBorder="1"/>
    <xf numFmtId="9" fontId="0" fillId="0" borderId="0" xfId="3" applyFont="1"/>
    <xf numFmtId="9" fontId="2" fillId="0" borderId="0" xfId="3" applyFont="1" applyBorder="1"/>
    <xf numFmtId="9" fontId="2" fillId="0" borderId="1" xfId="3" applyFont="1" applyBorder="1"/>
    <xf numFmtId="166" fontId="0" fillId="0" borderId="0" xfId="0" applyNumberFormat="1"/>
    <xf numFmtId="2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/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140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147</v>
      </c>
    </row>
    <row r="7" spans="1:1" x14ac:dyDescent="0.2">
      <c r="A7" s="1"/>
    </row>
    <row r="8" spans="1:1" x14ac:dyDescent="0.2">
      <c r="A8" s="17" t="s">
        <v>148</v>
      </c>
    </row>
    <row r="9" spans="1:1" x14ac:dyDescent="0.2">
      <c r="A9" s="1" t="s">
        <v>144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145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143</v>
      </c>
    </row>
    <row r="27" spans="1:1" x14ac:dyDescent="0.2">
      <c r="A27" s="16" t="s">
        <v>142</v>
      </c>
    </row>
    <row r="29" spans="1:1" x14ac:dyDescent="0.2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7"/>
  <sheetViews>
    <sheetView workbookViewId="0"/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31" t="s">
        <v>1</v>
      </c>
      <c r="B2" s="31"/>
      <c r="C2" s="31"/>
      <c r="D2" s="31"/>
    </row>
    <row r="3" spans="1:10" x14ac:dyDescent="0.2">
      <c r="B3" s="30" t="s">
        <v>23</v>
      </c>
      <c r="C3" s="30"/>
      <c r="D3" s="30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159</v>
      </c>
      <c r="B7" s="24">
        <f>B6/C6-1</f>
        <v>6.3239764351428418E-2</v>
      </c>
      <c r="C7" s="24">
        <f t="shared" ref="C7:D7" si="0">C6/D6-1</f>
        <v>0.34720743656765429</v>
      </c>
      <c r="D7" s="24"/>
    </row>
    <row r="8" spans="1:10" x14ac:dyDescent="0.2">
      <c r="A8" s="1" t="s">
        <v>5</v>
      </c>
      <c r="B8" s="12">
        <v>78129</v>
      </c>
      <c r="C8" s="12">
        <v>68425</v>
      </c>
      <c r="D8" s="12">
        <v>53768</v>
      </c>
    </row>
    <row r="9" spans="1:10" x14ac:dyDescent="0.2">
      <c r="A9" s="1" t="s">
        <v>159</v>
      </c>
      <c r="B9" s="24">
        <f>B8/C8-1</f>
        <v>0.14181951041286078</v>
      </c>
      <c r="C9" s="24">
        <f t="shared" ref="C9" si="1">C8/D8-1</f>
        <v>0.27259708376729663</v>
      </c>
      <c r="D9" s="24"/>
    </row>
    <row r="10" spans="1:10" x14ac:dyDescent="0.2">
      <c r="A10" s="8" t="s">
        <v>6</v>
      </c>
      <c r="B10" s="13">
        <f>+B6+B8</f>
        <v>394328</v>
      </c>
      <c r="C10" s="13">
        <f t="shared" ref="C10:D10" si="2">+C6+C8</f>
        <v>365817</v>
      </c>
      <c r="D10" s="13">
        <f t="shared" si="2"/>
        <v>274515</v>
      </c>
    </row>
    <row r="11" spans="1:10" x14ac:dyDescent="0.2">
      <c r="A11" s="7" t="s">
        <v>159</v>
      </c>
      <c r="B11" s="24">
        <f>B10/C10-1</f>
        <v>7.7937876041846099E-2</v>
      </c>
      <c r="C11" s="24">
        <f t="shared" ref="C11" si="3">C10/D10-1</f>
        <v>0.33259384733074704</v>
      </c>
      <c r="D11" s="24"/>
    </row>
    <row r="12" spans="1:10" x14ac:dyDescent="0.2">
      <c r="A12" t="s">
        <v>7</v>
      </c>
      <c r="B12" s="12"/>
      <c r="C12" s="12"/>
      <c r="D12" s="12"/>
    </row>
    <row r="13" spans="1:10" x14ac:dyDescent="0.2">
      <c r="A13" s="1" t="s">
        <v>4</v>
      </c>
      <c r="B13" s="12">
        <v>201471</v>
      </c>
      <c r="C13" s="12">
        <v>192266</v>
      </c>
      <c r="D13" s="12">
        <v>151286</v>
      </c>
    </row>
    <row r="14" spans="1:10" x14ac:dyDescent="0.2">
      <c r="A14" s="1" t="s">
        <v>5</v>
      </c>
      <c r="B14" s="12">
        <v>22075</v>
      </c>
      <c r="C14" s="12">
        <v>20715</v>
      </c>
      <c r="D14" s="12">
        <v>18273</v>
      </c>
    </row>
    <row r="15" spans="1:10" x14ac:dyDescent="0.2">
      <c r="A15" s="8" t="s">
        <v>8</v>
      </c>
      <c r="B15" s="13">
        <f>+B13+B14</f>
        <v>223546</v>
      </c>
      <c r="C15" s="13">
        <f t="shared" ref="C15:D15" si="4">+C13+C14</f>
        <v>212981</v>
      </c>
      <c r="D15" s="13">
        <f t="shared" si="4"/>
        <v>169559</v>
      </c>
    </row>
    <row r="16" spans="1:10" x14ac:dyDescent="0.2">
      <c r="A16" s="8" t="s">
        <v>150</v>
      </c>
      <c r="B16" s="26">
        <f>B15/B10</f>
        <v>0.56690369438639909</v>
      </c>
      <c r="C16" s="26">
        <f t="shared" ref="C16:D16" si="5">C15/C10</f>
        <v>0.58220640374832222</v>
      </c>
      <c r="D16" s="26">
        <f t="shared" si="5"/>
        <v>0.61766752272189129</v>
      </c>
    </row>
    <row r="17" spans="1:4" x14ac:dyDescent="0.2">
      <c r="A17" s="8"/>
      <c r="B17" s="13"/>
      <c r="C17" s="13"/>
      <c r="D17" s="13"/>
    </row>
    <row r="18" spans="1:4" x14ac:dyDescent="0.2">
      <c r="A18" s="8" t="s">
        <v>9</v>
      </c>
      <c r="B18" s="13">
        <f>+B10-B15</f>
        <v>170782</v>
      </c>
      <c r="C18" s="13">
        <f t="shared" ref="C18:D18" si="6">+C10-C15</f>
        <v>152836</v>
      </c>
      <c r="D18" s="13">
        <f t="shared" si="6"/>
        <v>104956</v>
      </c>
    </row>
    <row r="19" spans="1:4" x14ac:dyDescent="0.2">
      <c r="A19" s="7" t="s">
        <v>159</v>
      </c>
      <c r="B19" s="24">
        <f>B18/C18-1</f>
        <v>0.1174199795859614</v>
      </c>
      <c r="C19" s="24">
        <f t="shared" ref="C19" si="7">C18/D18-1</f>
        <v>0.45619116582186825</v>
      </c>
      <c r="D19" s="24"/>
    </row>
    <row r="20" spans="1:4" x14ac:dyDescent="0.2">
      <c r="A20" s="7" t="s">
        <v>160</v>
      </c>
      <c r="B20" s="25">
        <f>B18/B10</f>
        <v>0.43309630561360085</v>
      </c>
      <c r="C20" s="25">
        <f t="shared" ref="C20:D20" si="8">C18/C10</f>
        <v>0.41779359625167778</v>
      </c>
      <c r="D20" s="25">
        <f t="shared" si="8"/>
        <v>0.38233247727810865</v>
      </c>
    </row>
    <row r="21" spans="1:4" x14ac:dyDescent="0.2">
      <c r="A21" s="7"/>
      <c r="B21" s="23"/>
      <c r="C21" s="25"/>
      <c r="D21" s="25"/>
    </row>
    <row r="22" spans="1:4" x14ac:dyDescent="0.2">
      <c r="A22" t="s">
        <v>10</v>
      </c>
      <c r="B22" s="12"/>
      <c r="C22" s="12"/>
      <c r="D22" s="12"/>
    </row>
    <row r="23" spans="1:4" x14ac:dyDescent="0.2">
      <c r="A23" s="1" t="s">
        <v>11</v>
      </c>
      <c r="B23" s="12">
        <v>26251</v>
      </c>
      <c r="C23" s="12">
        <v>21914</v>
      </c>
      <c r="D23" s="12">
        <v>18752</v>
      </c>
    </row>
    <row r="24" spans="1:4" x14ac:dyDescent="0.2">
      <c r="A24" s="1" t="s">
        <v>159</v>
      </c>
      <c r="B24" s="24">
        <f>B23/C23-1</f>
        <v>0.19791001186456136</v>
      </c>
      <c r="C24" s="24">
        <f t="shared" ref="C24" si="9">C23/D23-1</f>
        <v>0.16862201365187723</v>
      </c>
      <c r="D24" s="24"/>
    </row>
    <row r="25" spans="1:4" x14ac:dyDescent="0.2">
      <c r="A25" s="1" t="s">
        <v>151</v>
      </c>
      <c r="B25" s="24">
        <f>B23/B10</f>
        <v>6.657148363798665E-2</v>
      </c>
      <c r="C25" s="24">
        <f t="shared" ref="C25:D25" si="10">C23/C10</f>
        <v>5.9904269074427925E-2</v>
      </c>
      <c r="D25" s="24">
        <f t="shared" si="10"/>
        <v>6.8309564140393061E-2</v>
      </c>
    </row>
    <row r="26" spans="1:4" x14ac:dyDescent="0.2">
      <c r="A26" s="1" t="s">
        <v>12</v>
      </c>
      <c r="B26" s="12">
        <v>25094</v>
      </c>
      <c r="C26" s="12">
        <v>21973</v>
      </c>
      <c r="D26" s="12">
        <v>19916</v>
      </c>
    </row>
    <row r="27" spans="1:4" x14ac:dyDescent="0.2">
      <c r="A27" s="1" t="s">
        <v>159</v>
      </c>
      <c r="B27" s="24">
        <f>B26/C26-1</f>
        <v>0.14203795567287125</v>
      </c>
      <c r="C27" s="24">
        <f t="shared" ref="C27" si="11">C26/D26-1</f>
        <v>0.10328379192608961</v>
      </c>
      <c r="D27" s="24"/>
    </row>
    <row r="28" spans="1:4" x14ac:dyDescent="0.2">
      <c r="A28" s="1" t="s">
        <v>151</v>
      </c>
      <c r="B28" s="24">
        <f>B26/B10</f>
        <v>6.3637378020328261E-2</v>
      </c>
      <c r="C28" s="24">
        <f t="shared" ref="C28:D28" si="12">C26/C10</f>
        <v>6.006555190163388E-2</v>
      </c>
      <c r="D28" s="24">
        <f t="shared" si="12"/>
        <v>7.2549769593646979E-2</v>
      </c>
    </row>
    <row r="29" spans="1:4" x14ac:dyDescent="0.2">
      <c r="A29" s="8" t="s">
        <v>13</v>
      </c>
      <c r="B29" s="13">
        <f>+B23+B26</f>
        <v>51345</v>
      </c>
      <c r="C29" s="13">
        <f t="shared" ref="C29" si="13">+C23+C26</f>
        <v>43887</v>
      </c>
      <c r="D29" s="13">
        <f t="shared" ref="D29" si="14">+D23+D26</f>
        <v>38668</v>
      </c>
    </row>
    <row r="30" spans="1:4" x14ac:dyDescent="0.2">
      <c r="A30" s="8"/>
      <c r="B30" s="13"/>
      <c r="C30" s="13"/>
      <c r="D30" s="13"/>
    </row>
    <row r="31" spans="1:4" x14ac:dyDescent="0.2">
      <c r="A31" s="8" t="s">
        <v>111</v>
      </c>
      <c r="B31" s="13">
        <f>B32+B105</f>
        <v>130541</v>
      </c>
      <c r="C31" s="13">
        <f t="shared" ref="C31:D31" si="15">C32+C105</f>
        <v>120233</v>
      </c>
      <c r="D31" s="13">
        <f t="shared" si="15"/>
        <v>77344</v>
      </c>
    </row>
    <row r="32" spans="1:4" x14ac:dyDescent="0.2">
      <c r="A32" s="8" t="s">
        <v>113</v>
      </c>
      <c r="B32" s="13">
        <f>B33</f>
        <v>119437</v>
      </c>
      <c r="C32" s="13">
        <f t="shared" ref="C32:D32" si="16">C33</f>
        <v>108949</v>
      </c>
      <c r="D32" s="13">
        <f t="shared" si="16"/>
        <v>66288</v>
      </c>
    </row>
    <row r="33" spans="1:4" s="7" customFormat="1" x14ac:dyDescent="0.2">
      <c r="A33" s="8" t="s">
        <v>14</v>
      </c>
      <c r="B33" s="13">
        <f>+B18-B29</f>
        <v>119437</v>
      </c>
      <c r="C33" s="13">
        <f t="shared" ref="C33:D33" si="17">+C18-C29</f>
        <v>108949</v>
      </c>
      <c r="D33" s="13">
        <f t="shared" si="17"/>
        <v>66288</v>
      </c>
    </row>
    <row r="34" spans="1:4" s="7" customFormat="1" x14ac:dyDescent="0.2">
      <c r="A34" s="7" t="s">
        <v>152</v>
      </c>
      <c r="B34" s="25">
        <f>B33/B10</f>
        <v>0.30288744395528594</v>
      </c>
      <c r="C34" s="25">
        <f t="shared" ref="C34:D34" si="18">C33/C10</f>
        <v>0.29782377527561593</v>
      </c>
      <c r="D34" s="25">
        <f t="shared" si="18"/>
        <v>0.24147314354406862</v>
      </c>
    </row>
    <row r="35" spans="1:4" x14ac:dyDescent="0.2">
      <c r="A35" t="s">
        <v>15</v>
      </c>
      <c r="B35" s="12">
        <v>-334</v>
      </c>
      <c r="C35" s="12">
        <v>258</v>
      </c>
      <c r="D35" s="12">
        <v>803</v>
      </c>
    </row>
    <row r="36" spans="1:4" x14ac:dyDescent="0.2">
      <c r="A36" s="8" t="s">
        <v>16</v>
      </c>
      <c r="B36" s="13">
        <f>+B33+B35</f>
        <v>119103</v>
      </c>
      <c r="C36" s="13">
        <f t="shared" ref="C36:D36" si="19">+C33+C35</f>
        <v>109207</v>
      </c>
      <c r="D36" s="13">
        <f t="shared" si="19"/>
        <v>67091</v>
      </c>
    </row>
    <row r="37" spans="1:4" x14ac:dyDescent="0.2">
      <c r="A37" t="s">
        <v>17</v>
      </c>
      <c r="B37" s="12">
        <v>19300</v>
      </c>
      <c r="C37" s="12">
        <v>14527</v>
      </c>
      <c r="D37" s="12">
        <v>9680</v>
      </c>
    </row>
    <row r="38" spans="1:4" x14ac:dyDescent="0.2">
      <c r="A38" s="7" t="s">
        <v>153</v>
      </c>
      <c r="B38" s="24">
        <f>B37/B36</f>
        <v>0.16204461684424407</v>
      </c>
      <c r="C38" s="24">
        <f t="shared" ref="C38:D38" si="20">C37/C36</f>
        <v>0.13302260844085087</v>
      </c>
      <c r="D38" s="24">
        <f t="shared" si="20"/>
        <v>0.14428164731484103</v>
      </c>
    </row>
    <row r="39" spans="1:4" ht="16" thickBot="1" x14ac:dyDescent="0.25">
      <c r="A39" s="9" t="s">
        <v>18</v>
      </c>
      <c r="B39" s="14">
        <f>+B36-B37</f>
        <v>99803</v>
      </c>
      <c r="C39" s="14">
        <f>+C36-C37</f>
        <v>94680</v>
      </c>
      <c r="D39" s="14">
        <f>+D36-D37</f>
        <v>57411</v>
      </c>
    </row>
    <row r="40" spans="1:4" ht="16" thickTop="1" x14ac:dyDescent="0.2">
      <c r="A40" s="7" t="s">
        <v>151</v>
      </c>
      <c r="B40" s="25">
        <f>B39/B10</f>
        <v>0.25309640705199732</v>
      </c>
      <c r="C40" s="25">
        <f>C39/C10</f>
        <v>0.25881793355694238</v>
      </c>
      <c r="D40" s="25">
        <f>D39/D10</f>
        <v>0.20913611278072236</v>
      </c>
    </row>
    <row r="41" spans="1:4" x14ac:dyDescent="0.2">
      <c r="A41" t="s">
        <v>19</v>
      </c>
    </row>
    <row r="42" spans="1:4" x14ac:dyDescent="0.2">
      <c r="A42" s="1" t="s">
        <v>20</v>
      </c>
      <c r="B42" s="10">
        <v>6.15</v>
      </c>
      <c r="C42" s="10">
        <v>5.67</v>
      </c>
      <c r="D42" s="10">
        <v>3.31</v>
      </c>
    </row>
    <row r="43" spans="1:4" x14ac:dyDescent="0.2">
      <c r="A43" s="1" t="s">
        <v>21</v>
      </c>
      <c r="B43" s="10">
        <v>6.11</v>
      </c>
      <c r="C43" s="10">
        <v>5.61</v>
      </c>
      <c r="D43" s="10">
        <v>3.28</v>
      </c>
    </row>
    <row r="44" spans="1:4" x14ac:dyDescent="0.2">
      <c r="A44" t="s">
        <v>22</v>
      </c>
    </row>
    <row r="45" spans="1:4" x14ac:dyDescent="0.2">
      <c r="A45" s="1" t="s">
        <v>20</v>
      </c>
      <c r="B45" s="2">
        <v>16215963</v>
      </c>
      <c r="C45" s="2">
        <v>16701272</v>
      </c>
      <c r="D45" s="2">
        <v>17352119</v>
      </c>
    </row>
    <row r="46" spans="1:4" x14ac:dyDescent="0.2">
      <c r="A46" s="1" t="s">
        <v>21</v>
      </c>
      <c r="B46" s="2">
        <v>16325819</v>
      </c>
      <c r="C46" s="2">
        <v>16864919</v>
      </c>
      <c r="D46" s="2">
        <v>17528214</v>
      </c>
    </row>
    <row r="49" spans="1:4" x14ac:dyDescent="0.2">
      <c r="A49" s="31" t="s">
        <v>24</v>
      </c>
      <c r="B49" s="31"/>
      <c r="C49" s="31"/>
      <c r="D49" s="31"/>
    </row>
    <row r="50" spans="1:4" x14ac:dyDescent="0.2">
      <c r="B50" s="30" t="s">
        <v>141</v>
      </c>
      <c r="C50" s="30"/>
      <c r="D50" s="30"/>
    </row>
    <row r="51" spans="1:4" x14ac:dyDescent="0.2">
      <c r="B51" s="7">
        <f>+B4</f>
        <v>2022</v>
      </c>
      <c r="C51" s="7">
        <f>+C4</f>
        <v>2021</v>
      </c>
      <c r="D51" s="7">
        <f>+D4</f>
        <v>2020</v>
      </c>
    </row>
    <row r="53" spans="1:4" x14ac:dyDescent="0.2">
      <c r="A53" t="s">
        <v>25</v>
      </c>
    </row>
    <row r="54" spans="1:4" x14ac:dyDescent="0.2">
      <c r="A54" s="1" t="s">
        <v>26</v>
      </c>
      <c r="B54" s="12">
        <v>23646</v>
      </c>
      <c r="C54" s="12">
        <v>34940</v>
      </c>
      <c r="D54" s="12">
        <v>38016</v>
      </c>
    </row>
    <row r="55" spans="1:4" x14ac:dyDescent="0.2">
      <c r="A55" s="1" t="s">
        <v>27</v>
      </c>
      <c r="B55" s="12">
        <v>24658</v>
      </c>
      <c r="C55" s="12">
        <v>27699</v>
      </c>
      <c r="D55" s="12">
        <v>52927</v>
      </c>
    </row>
    <row r="56" spans="1:4" x14ac:dyDescent="0.2">
      <c r="A56" s="1" t="s">
        <v>28</v>
      </c>
      <c r="B56" s="12">
        <v>28184</v>
      </c>
      <c r="C56" s="12">
        <v>26278</v>
      </c>
      <c r="D56" s="12">
        <v>16120</v>
      </c>
    </row>
    <row r="57" spans="1:4" x14ac:dyDescent="0.2">
      <c r="A57" s="1" t="s">
        <v>29</v>
      </c>
      <c r="B57" s="12">
        <v>4946</v>
      </c>
      <c r="C57" s="12">
        <v>6580</v>
      </c>
      <c r="D57" s="12">
        <v>4061</v>
      </c>
    </row>
    <row r="58" spans="1:4" x14ac:dyDescent="0.2">
      <c r="A58" s="1" t="s">
        <v>47</v>
      </c>
      <c r="B58" s="12">
        <v>32748</v>
      </c>
      <c r="C58" s="12">
        <v>25228</v>
      </c>
      <c r="D58" s="12">
        <v>21325</v>
      </c>
    </row>
    <row r="59" spans="1:4" x14ac:dyDescent="0.2">
      <c r="A59" s="1" t="s">
        <v>30</v>
      </c>
      <c r="B59" s="12">
        <v>21223</v>
      </c>
      <c r="C59" s="12">
        <v>14111</v>
      </c>
      <c r="D59" s="12">
        <v>11264</v>
      </c>
    </row>
    <row r="60" spans="1:4" x14ac:dyDescent="0.2">
      <c r="A60" s="8" t="s">
        <v>31</v>
      </c>
      <c r="B60" s="13">
        <f>+SUM(B54:B59)</f>
        <v>135405</v>
      </c>
      <c r="C60" s="13">
        <f t="shared" ref="C60:D60" si="21">+SUM(C54:C59)</f>
        <v>134836</v>
      </c>
      <c r="D60" s="13">
        <f t="shared" si="21"/>
        <v>143713</v>
      </c>
    </row>
    <row r="61" spans="1:4" x14ac:dyDescent="0.2">
      <c r="A61" s="7" t="s">
        <v>149</v>
      </c>
      <c r="B61" s="24">
        <f>B60/C60-1</f>
        <v>4.2199412619774446E-3</v>
      </c>
      <c r="C61" s="24">
        <f t="shared" ref="C61" si="22">C60/D60-1</f>
        <v>-6.1768942266879123E-2</v>
      </c>
      <c r="D61" s="24"/>
    </row>
    <row r="62" spans="1:4" x14ac:dyDescent="0.2">
      <c r="A62" t="s">
        <v>48</v>
      </c>
      <c r="B62" s="12"/>
      <c r="C62" s="12"/>
      <c r="D62" s="12"/>
    </row>
    <row r="63" spans="1:4" x14ac:dyDescent="0.2">
      <c r="A63" s="1" t="s">
        <v>27</v>
      </c>
      <c r="B63" s="12">
        <v>120805</v>
      </c>
      <c r="C63" s="12">
        <v>127877</v>
      </c>
      <c r="D63" s="12">
        <v>100887</v>
      </c>
    </row>
    <row r="64" spans="1:4" x14ac:dyDescent="0.2">
      <c r="A64" s="1" t="s">
        <v>32</v>
      </c>
      <c r="B64" s="12">
        <v>42117</v>
      </c>
      <c r="C64" s="12">
        <v>39440</v>
      </c>
      <c r="D64" s="12">
        <v>36766</v>
      </c>
    </row>
    <row r="65" spans="1:4" x14ac:dyDescent="0.2">
      <c r="A65" s="1" t="s">
        <v>49</v>
      </c>
      <c r="B65" s="12">
        <v>54428</v>
      </c>
      <c r="C65" s="12">
        <v>48849</v>
      </c>
      <c r="D65" s="12">
        <v>42522</v>
      </c>
    </row>
    <row r="66" spans="1:4" x14ac:dyDescent="0.2">
      <c r="A66" s="8" t="s">
        <v>50</v>
      </c>
      <c r="B66" s="13">
        <f>+SUM(B63:B65)</f>
        <v>217350</v>
      </c>
      <c r="C66" s="13">
        <f t="shared" ref="C66:D66" si="23">+SUM(C63:C65)</f>
        <v>216166</v>
      </c>
      <c r="D66" s="13">
        <f t="shared" si="23"/>
        <v>180175</v>
      </c>
    </row>
    <row r="67" spans="1:4" x14ac:dyDescent="0.2">
      <c r="A67" s="7" t="s">
        <v>149</v>
      </c>
      <c r="B67" s="24">
        <f>B66/C66-1</f>
        <v>5.477272096444441E-3</v>
      </c>
      <c r="C67" s="24">
        <f t="shared" ref="C67" si="24">C66/D66-1</f>
        <v>0.19975579297904811</v>
      </c>
      <c r="D67" s="24"/>
    </row>
    <row r="68" spans="1:4" ht="16" thickBot="1" x14ac:dyDescent="0.25">
      <c r="A68" s="9" t="s">
        <v>33</v>
      </c>
      <c r="B68" s="14">
        <f>+B60+B66</f>
        <v>352755</v>
      </c>
      <c r="C68" s="14">
        <f t="shared" ref="C68:D68" si="25">+C60+C66</f>
        <v>351002</v>
      </c>
      <c r="D68" s="14">
        <f t="shared" si="25"/>
        <v>323888</v>
      </c>
    </row>
    <row r="69" spans="1:4" ht="16" thickTop="1" x14ac:dyDescent="0.2">
      <c r="A69" s="7" t="s">
        <v>149</v>
      </c>
      <c r="B69" s="24">
        <f>B68/C68-1</f>
        <v>4.994273536902849E-3</v>
      </c>
      <c r="C69" s="24">
        <f t="shared" ref="C69" si="26">C68/D68-1</f>
        <v>8.3714123400681739E-2</v>
      </c>
      <c r="D69" s="24"/>
    </row>
    <row r="71" spans="1:4" x14ac:dyDescent="0.2">
      <c r="A71" t="s">
        <v>34</v>
      </c>
    </row>
    <row r="72" spans="1:4" x14ac:dyDescent="0.2">
      <c r="A72" s="1" t="s">
        <v>35</v>
      </c>
      <c r="B72" s="12">
        <v>64115</v>
      </c>
      <c r="C72" s="12">
        <v>54763</v>
      </c>
      <c r="D72" s="12">
        <v>42296</v>
      </c>
    </row>
    <row r="73" spans="1:4" x14ac:dyDescent="0.2">
      <c r="A73" s="1" t="s">
        <v>36</v>
      </c>
      <c r="B73" s="12">
        <v>60845</v>
      </c>
      <c r="C73" s="12">
        <v>47493</v>
      </c>
      <c r="D73" s="12">
        <v>42684</v>
      </c>
    </row>
    <row r="74" spans="1:4" x14ac:dyDescent="0.2">
      <c r="A74" s="1" t="s">
        <v>37</v>
      </c>
      <c r="B74" s="12">
        <v>7912</v>
      </c>
      <c r="C74" s="12">
        <v>7612</v>
      </c>
      <c r="D74" s="12">
        <v>6643</v>
      </c>
    </row>
    <row r="75" spans="1:4" x14ac:dyDescent="0.2">
      <c r="A75" s="1" t="s">
        <v>38</v>
      </c>
      <c r="B75" s="12">
        <v>9982</v>
      </c>
      <c r="C75" s="12">
        <v>6000</v>
      </c>
      <c r="D75" s="12">
        <v>4996</v>
      </c>
    </row>
    <row r="76" spans="1:4" x14ac:dyDescent="0.2">
      <c r="A76" s="1" t="s">
        <v>39</v>
      </c>
      <c r="B76" s="12">
        <v>11128</v>
      </c>
      <c r="C76" s="12">
        <v>9613</v>
      </c>
      <c r="D76" s="12">
        <v>8773</v>
      </c>
    </row>
    <row r="77" spans="1:4" x14ac:dyDescent="0.2">
      <c r="A77" s="8" t="s">
        <v>40</v>
      </c>
      <c r="B77" s="13">
        <f>+SUM(B72:B76)</f>
        <v>153982</v>
      </c>
      <c r="C77" s="13">
        <f t="shared" ref="C77:D77" si="27">+SUM(C72:C76)</f>
        <v>125481</v>
      </c>
      <c r="D77" s="13">
        <f t="shared" si="27"/>
        <v>105392</v>
      </c>
    </row>
    <row r="78" spans="1:4" x14ac:dyDescent="0.2">
      <c r="A78" s="7" t="s">
        <v>149</v>
      </c>
      <c r="B78" s="24">
        <f>B77/C77-1</f>
        <v>0.22713398841258825</v>
      </c>
      <c r="C78" s="24">
        <f t="shared" ref="C78" si="28">C77/D77-1</f>
        <v>0.19061219067860935</v>
      </c>
      <c r="D78" s="24"/>
    </row>
    <row r="79" spans="1:4" x14ac:dyDescent="0.2">
      <c r="A79" t="s">
        <v>51</v>
      </c>
      <c r="B79" s="12"/>
      <c r="C79" s="12"/>
      <c r="D79" s="12"/>
    </row>
    <row r="80" spans="1:4" x14ac:dyDescent="0.2">
      <c r="A80" s="1" t="s">
        <v>37</v>
      </c>
      <c r="B80" s="12"/>
      <c r="C80" s="12"/>
      <c r="D80" s="12"/>
    </row>
    <row r="81" spans="1:4" x14ac:dyDescent="0.2">
      <c r="A81" s="1" t="s">
        <v>39</v>
      </c>
      <c r="B81" s="12">
        <v>98959</v>
      </c>
      <c r="C81" s="12">
        <v>109106</v>
      </c>
      <c r="D81" s="12">
        <v>98667</v>
      </c>
    </row>
    <row r="82" spans="1:4" x14ac:dyDescent="0.2">
      <c r="A82" s="1" t="s">
        <v>52</v>
      </c>
      <c r="B82" s="12">
        <v>49142</v>
      </c>
      <c r="C82" s="12">
        <v>53325</v>
      </c>
      <c r="D82" s="12">
        <v>54490</v>
      </c>
    </row>
    <row r="83" spans="1:4" x14ac:dyDescent="0.2">
      <c r="A83" s="22" t="s">
        <v>53</v>
      </c>
      <c r="B83" s="21">
        <f>+B81+B82</f>
        <v>148101</v>
      </c>
      <c r="C83" s="21">
        <f t="shared" ref="C83:D83" si="29">+C81+C82</f>
        <v>162431</v>
      </c>
      <c r="D83" s="21">
        <f t="shared" si="29"/>
        <v>153157</v>
      </c>
    </row>
    <row r="84" spans="1:4" x14ac:dyDescent="0.2">
      <c r="A84" s="7" t="s">
        <v>149</v>
      </c>
      <c r="B84" s="24">
        <f>B83/C83-1</f>
        <v>-8.8222075835277747E-2</v>
      </c>
      <c r="C84" s="24">
        <f t="shared" ref="C84" si="30">C83/D83-1</f>
        <v>6.0552243775994663E-2</v>
      </c>
      <c r="D84" s="24"/>
    </row>
    <row r="85" spans="1:4" x14ac:dyDescent="0.2">
      <c r="A85" s="8" t="s">
        <v>41</v>
      </c>
      <c r="B85" s="13">
        <f>+B77+B83</f>
        <v>302083</v>
      </c>
      <c r="C85" s="13">
        <f t="shared" ref="C85:D85" si="31">+C77+C83</f>
        <v>287912</v>
      </c>
      <c r="D85" s="13">
        <f t="shared" si="31"/>
        <v>258549</v>
      </c>
    </row>
    <row r="86" spans="1:4" x14ac:dyDescent="0.2">
      <c r="A86" s="7" t="s">
        <v>149</v>
      </c>
      <c r="B86" s="24">
        <f>B85/C85-1</f>
        <v>4.9219900525160565E-2</v>
      </c>
      <c r="C86" s="24">
        <f t="shared" ref="C86" si="32">C85/D85-1</f>
        <v>0.11356841449783217</v>
      </c>
      <c r="D86" s="24"/>
    </row>
    <row r="87" spans="1:4" x14ac:dyDescent="0.2">
      <c r="B87" s="12"/>
      <c r="C87" s="12"/>
      <c r="D87" s="12"/>
    </row>
    <row r="88" spans="1:4" x14ac:dyDescent="0.2">
      <c r="A88" t="s">
        <v>42</v>
      </c>
      <c r="B88" s="12"/>
      <c r="C88" s="12"/>
      <c r="D88" s="12"/>
    </row>
    <row r="89" spans="1:4" x14ac:dyDescent="0.2">
      <c r="A89" s="1" t="s">
        <v>54</v>
      </c>
      <c r="B89" s="12">
        <v>64849</v>
      </c>
      <c r="C89" s="12">
        <v>57365</v>
      </c>
      <c r="D89" s="12">
        <v>50779</v>
      </c>
    </row>
    <row r="90" spans="1:4" x14ac:dyDescent="0.2">
      <c r="A90" s="1" t="s">
        <v>43</v>
      </c>
      <c r="B90" s="12">
        <v>-3068</v>
      </c>
      <c r="C90" s="12">
        <v>5562</v>
      </c>
      <c r="D90" s="12">
        <v>14966</v>
      </c>
    </row>
    <row r="91" spans="1:4" x14ac:dyDescent="0.2">
      <c r="A91" s="1" t="s">
        <v>44</v>
      </c>
      <c r="B91" s="12">
        <v>-11109</v>
      </c>
      <c r="C91" s="12">
        <v>163</v>
      </c>
      <c r="D91" s="12">
        <v>-406</v>
      </c>
    </row>
    <row r="92" spans="1:4" x14ac:dyDescent="0.2">
      <c r="A92" s="8" t="s">
        <v>45</v>
      </c>
      <c r="B92" s="13">
        <f>+SUM(B89:B91)</f>
        <v>50672</v>
      </c>
      <c r="C92" s="13">
        <f t="shared" ref="C92:D92" si="33">+SUM(C89:C91)</f>
        <v>63090</v>
      </c>
      <c r="D92" s="13">
        <f t="shared" si="33"/>
        <v>65339</v>
      </c>
    </row>
    <row r="93" spans="1:4" x14ac:dyDescent="0.2">
      <c r="A93" s="7" t="s">
        <v>149</v>
      </c>
      <c r="B93" s="24">
        <f>B92/C92-1</f>
        <v>-0.19682992550324929</v>
      </c>
      <c r="C93" s="24">
        <f t="shared" ref="C93" si="34">C92/D92-1</f>
        <v>-3.4420483937617652E-2</v>
      </c>
      <c r="D93" s="24"/>
    </row>
    <row r="94" spans="1:4" ht="16" thickBot="1" x14ac:dyDescent="0.25">
      <c r="A94" s="9" t="s">
        <v>46</v>
      </c>
      <c r="B94" s="14">
        <f>+B92+B85</f>
        <v>352755</v>
      </c>
      <c r="C94" s="14">
        <f t="shared" ref="C94:D94" si="35">+C92+C85</f>
        <v>351002</v>
      </c>
      <c r="D94" s="14">
        <f t="shared" si="35"/>
        <v>323888</v>
      </c>
    </row>
    <row r="95" spans="1:4" ht="16" thickTop="1" x14ac:dyDescent="0.2">
      <c r="A95" s="7" t="s">
        <v>149</v>
      </c>
      <c r="B95" s="24">
        <f>B94/C94-1</f>
        <v>4.994273536902849E-3</v>
      </c>
      <c r="C95" s="24">
        <f t="shared" ref="C95" si="36">C94/D94-1</f>
        <v>8.3714123400681739E-2</v>
      </c>
      <c r="D95" s="24"/>
    </row>
    <row r="97" spans="1:4" x14ac:dyDescent="0.2">
      <c r="A97" s="31" t="s">
        <v>55</v>
      </c>
      <c r="B97" s="31"/>
      <c r="C97" s="31"/>
      <c r="D97" s="31"/>
    </row>
    <row r="98" spans="1:4" x14ac:dyDescent="0.2">
      <c r="B98" s="30" t="s">
        <v>23</v>
      </c>
      <c r="C98" s="30"/>
      <c r="D98" s="30"/>
    </row>
    <row r="99" spans="1:4" x14ac:dyDescent="0.2">
      <c r="B99" s="7">
        <f>+B51</f>
        <v>2022</v>
      </c>
      <c r="C99" s="7">
        <f t="shared" ref="C99:D99" si="37">+C51</f>
        <v>2021</v>
      </c>
      <c r="D99" s="7">
        <f t="shared" si="37"/>
        <v>2020</v>
      </c>
    </row>
    <row r="101" spans="1:4" x14ac:dyDescent="0.2">
      <c r="A101" s="7" t="s">
        <v>56</v>
      </c>
      <c r="B101" s="15"/>
      <c r="C101" s="15"/>
      <c r="D101" s="15"/>
    </row>
    <row r="102" spans="1:4" x14ac:dyDescent="0.2">
      <c r="A102" t="s">
        <v>57</v>
      </c>
      <c r="B102" s="12">
        <f>+B39</f>
        <v>99803</v>
      </c>
      <c r="C102" s="12">
        <f t="shared" ref="C102:D102" si="38">+C39</f>
        <v>94680</v>
      </c>
      <c r="D102" s="12">
        <f t="shared" si="38"/>
        <v>57411</v>
      </c>
    </row>
    <row r="103" spans="1:4" x14ac:dyDescent="0.2">
      <c r="A103" s="11" t="s">
        <v>18</v>
      </c>
      <c r="B103" s="15"/>
      <c r="C103" s="15"/>
      <c r="D103" s="15"/>
    </row>
    <row r="104" spans="1:4" x14ac:dyDescent="0.2">
      <c r="A104" s="1" t="s">
        <v>58</v>
      </c>
      <c r="B104" s="12"/>
      <c r="C104" s="12"/>
      <c r="D104" s="12"/>
    </row>
    <row r="105" spans="1:4" x14ac:dyDescent="0.2">
      <c r="A105" s="3" t="s">
        <v>59</v>
      </c>
      <c r="B105" s="12">
        <v>11104</v>
      </c>
      <c r="C105" s="12">
        <v>11284</v>
      </c>
      <c r="D105" s="12">
        <v>11056</v>
      </c>
    </row>
    <row r="106" spans="1:4" x14ac:dyDescent="0.2">
      <c r="A106" s="3" t="s">
        <v>83</v>
      </c>
      <c r="B106" s="12">
        <v>9038</v>
      </c>
      <c r="C106" s="12">
        <v>7906</v>
      </c>
      <c r="D106" s="12">
        <v>6829</v>
      </c>
    </row>
    <row r="107" spans="1:4" x14ac:dyDescent="0.2">
      <c r="A107" s="3" t="s">
        <v>60</v>
      </c>
      <c r="B107" s="12">
        <v>895</v>
      </c>
      <c r="C107" s="12">
        <v>-4774</v>
      </c>
      <c r="D107" s="12">
        <v>-215</v>
      </c>
    </row>
    <row r="108" spans="1:4" x14ac:dyDescent="0.2">
      <c r="A108" s="3" t="s">
        <v>61</v>
      </c>
      <c r="B108" s="12">
        <v>111</v>
      </c>
      <c r="C108" s="12">
        <v>-147</v>
      </c>
      <c r="D108" s="12">
        <v>-97</v>
      </c>
    </row>
    <row r="109" spans="1:4" x14ac:dyDescent="0.2">
      <c r="A109" t="s">
        <v>62</v>
      </c>
      <c r="B109" s="12"/>
      <c r="C109" s="12"/>
      <c r="D109" s="12"/>
    </row>
    <row r="110" spans="1:4" x14ac:dyDescent="0.2">
      <c r="A110" s="1" t="s">
        <v>28</v>
      </c>
      <c r="B110" s="12">
        <v>-1823</v>
      </c>
      <c r="C110" s="12">
        <v>-10125</v>
      </c>
      <c r="D110" s="12">
        <v>6917</v>
      </c>
    </row>
    <row r="111" spans="1:4" x14ac:dyDescent="0.2">
      <c r="A111" s="1" t="s">
        <v>29</v>
      </c>
      <c r="B111" s="12">
        <v>1484</v>
      </c>
      <c r="C111" s="12">
        <v>-2642</v>
      </c>
      <c r="D111" s="12">
        <v>-127</v>
      </c>
    </row>
    <row r="112" spans="1:4" x14ac:dyDescent="0.2">
      <c r="A112" s="1" t="s">
        <v>47</v>
      </c>
      <c r="B112" s="12">
        <v>-7520</v>
      </c>
      <c r="C112" s="12">
        <v>-3903</v>
      </c>
      <c r="D112" s="12">
        <v>1553</v>
      </c>
    </row>
    <row r="113" spans="1:4" x14ac:dyDescent="0.2">
      <c r="A113" s="1" t="s">
        <v>84</v>
      </c>
      <c r="B113" s="12">
        <v>-6499</v>
      </c>
      <c r="C113" s="12">
        <v>-8042</v>
      </c>
      <c r="D113" s="12">
        <v>-9588</v>
      </c>
    </row>
    <row r="114" spans="1:4" x14ac:dyDescent="0.2">
      <c r="A114" s="1" t="s">
        <v>35</v>
      </c>
      <c r="B114" s="12">
        <v>9448</v>
      </c>
      <c r="C114" s="12">
        <v>12326</v>
      </c>
      <c r="D114" s="12">
        <v>-4062</v>
      </c>
    </row>
    <row r="115" spans="1:4" x14ac:dyDescent="0.2">
      <c r="A115" s="1" t="s">
        <v>37</v>
      </c>
      <c r="B115" s="12">
        <v>478</v>
      </c>
      <c r="C115" s="12">
        <v>1676</v>
      </c>
      <c r="D115" s="12">
        <v>2081</v>
      </c>
    </row>
    <row r="116" spans="1:4" x14ac:dyDescent="0.2">
      <c r="A116" s="1" t="s">
        <v>85</v>
      </c>
      <c r="B116" s="12">
        <v>5632</v>
      </c>
      <c r="C116" s="12">
        <v>5799</v>
      </c>
      <c r="D116" s="12">
        <v>8916</v>
      </c>
    </row>
    <row r="117" spans="1:4" x14ac:dyDescent="0.2">
      <c r="A117" s="8" t="s">
        <v>63</v>
      </c>
      <c r="B117" s="13">
        <f>+SUM(B102:B116)</f>
        <v>122151</v>
      </c>
      <c r="C117" s="13">
        <f t="shared" ref="C117:D117" si="39">+SUM(C102:C116)</f>
        <v>104038</v>
      </c>
      <c r="D117" s="13">
        <f t="shared" si="39"/>
        <v>80674</v>
      </c>
    </row>
    <row r="118" spans="1:4" x14ac:dyDescent="0.2">
      <c r="A118" s="7" t="s">
        <v>64</v>
      </c>
      <c r="B118" s="12"/>
      <c r="C118" s="12"/>
      <c r="D118" s="12"/>
    </row>
    <row r="119" spans="1:4" x14ac:dyDescent="0.2">
      <c r="A119" s="1" t="s">
        <v>65</v>
      </c>
      <c r="B119" s="12">
        <v>-76923</v>
      </c>
      <c r="C119" s="12">
        <v>-109558</v>
      </c>
      <c r="D119" s="12">
        <v>-114938</v>
      </c>
    </row>
    <row r="120" spans="1:4" x14ac:dyDescent="0.2">
      <c r="A120" s="1" t="s">
        <v>66</v>
      </c>
      <c r="B120" s="12">
        <v>29917</v>
      </c>
      <c r="C120" s="12">
        <v>59023</v>
      </c>
      <c r="D120" s="12">
        <v>69918</v>
      </c>
    </row>
    <row r="121" spans="1:4" x14ac:dyDescent="0.2">
      <c r="A121" s="1" t="s">
        <v>67</v>
      </c>
      <c r="B121" s="12">
        <v>37446</v>
      </c>
      <c r="C121" s="12">
        <v>47460</v>
      </c>
      <c r="D121" s="12">
        <v>50473</v>
      </c>
    </row>
    <row r="122" spans="1:4" x14ac:dyDescent="0.2">
      <c r="A122" s="1" t="s">
        <v>68</v>
      </c>
      <c r="B122" s="12">
        <v>-10708</v>
      </c>
      <c r="C122" s="12">
        <v>-11085</v>
      </c>
      <c r="D122" s="12">
        <v>-7309</v>
      </c>
    </row>
    <row r="123" spans="1:4" x14ac:dyDescent="0.2">
      <c r="A123" s="1" t="s">
        <v>69</v>
      </c>
      <c r="B123" s="12">
        <v>-306</v>
      </c>
      <c r="C123" s="12">
        <v>-33</v>
      </c>
      <c r="D123" s="12">
        <v>-1524</v>
      </c>
    </row>
    <row r="124" spans="1:4" x14ac:dyDescent="0.2">
      <c r="A124" s="1" t="s">
        <v>61</v>
      </c>
      <c r="B124" s="12">
        <v>-1780</v>
      </c>
      <c r="C124" s="12">
        <v>-352</v>
      </c>
      <c r="D124" s="12">
        <v>-909</v>
      </c>
    </row>
    <row r="125" spans="1:4" x14ac:dyDescent="0.2">
      <c r="A125" s="8" t="s">
        <v>70</v>
      </c>
      <c r="B125" s="13">
        <f>+SUM(B119:B124)</f>
        <v>-22354</v>
      </c>
      <c r="C125" s="13">
        <f t="shared" ref="C125:D125" si="40">+SUM(C119:C124)</f>
        <v>-14545</v>
      </c>
      <c r="D125" s="13">
        <f t="shared" si="40"/>
        <v>-4289</v>
      </c>
    </row>
    <row r="126" spans="1:4" x14ac:dyDescent="0.2">
      <c r="A126" s="7" t="s">
        <v>71</v>
      </c>
      <c r="B126" s="12"/>
      <c r="C126" s="12"/>
      <c r="D126" s="12"/>
    </row>
    <row r="127" spans="1:4" x14ac:dyDescent="0.2">
      <c r="A127" s="1" t="s">
        <v>86</v>
      </c>
      <c r="B127" s="12">
        <v>-6223</v>
      </c>
      <c r="C127" s="12">
        <v>-6556</v>
      </c>
      <c r="D127" s="12">
        <v>-3634</v>
      </c>
    </row>
    <row r="128" spans="1:4" x14ac:dyDescent="0.2">
      <c r="A128" s="1" t="s">
        <v>72</v>
      </c>
      <c r="B128" s="12">
        <v>-14841</v>
      </c>
      <c r="C128" s="12">
        <v>-14467</v>
      </c>
      <c r="D128" s="12">
        <v>-14081</v>
      </c>
    </row>
    <row r="129" spans="1:4" x14ac:dyDescent="0.2">
      <c r="A129" s="1" t="s">
        <v>73</v>
      </c>
      <c r="B129" s="12">
        <v>-89402</v>
      </c>
      <c r="C129" s="12">
        <v>-85971</v>
      </c>
      <c r="D129" s="12">
        <v>-72358</v>
      </c>
    </row>
    <row r="130" spans="1:4" x14ac:dyDescent="0.2">
      <c r="A130" s="1" t="s">
        <v>74</v>
      </c>
      <c r="B130" s="12">
        <v>5465</v>
      </c>
      <c r="C130" s="12">
        <v>20393</v>
      </c>
      <c r="D130" s="12">
        <v>16091</v>
      </c>
    </row>
    <row r="131" spans="1:4" x14ac:dyDescent="0.2">
      <c r="A131" s="1" t="s">
        <v>75</v>
      </c>
      <c r="B131" s="12">
        <v>-9543</v>
      </c>
      <c r="C131" s="12">
        <v>-8750</v>
      </c>
      <c r="D131" s="12">
        <v>-12629</v>
      </c>
    </row>
    <row r="132" spans="1:4" x14ac:dyDescent="0.2">
      <c r="A132" s="1" t="s">
        <v>76</v>
      </c>
      <c r="B132" s="12">
        <v>3955</v>
      </c>
      <c r="C132" s="12">
        <v>1022</v>
      </c>
      <c r="D132" s="12">
        <v>-963</v>
      </c>
    </row>
    <row r="133" spans="1:4" x14ac:dyDescent="0.2">
      <c r="A133" s="1" t="s">
        <v>61</v>
      </c>
      <c r="B133" s="12">
        <v>-160</v>
      </c>
      <c r="C133" s="12">
        <v>976</v>
      </c>
      <c r="D133" s="12">
        <v>754</v>
      </c>
    </row>
    <row r="134" spans="1:4" x14ac:dyDescent="0.2">
      <c r="A134" s="8" t="s">
        <v>77</v>
      </c>
      <c r="B134" s="13">
        <f>+SUM(B127:B133)</f>
        <v>-110749</v>
      </c>
      <c r="C134" s="13">
        <f t="shared" ref="C134:D134" si="41">+SUM(C127:C133)</f>
        <v>-93353</v>
      </c>
      <c r="D134" s="13">
        <f t="shared" si="41"/>
        <v>-86820</v>
      </c>
    </row>
    <row r="135" spans="1:4" x14ac:dyDescent="0.2">
      <c r="A135" s="8" t="s">
        <v>78</v>
      </c>
      <c r="B135" s="13">
        <f>+B117+B125+B134</f>
        <v>-10952</v>
      </c>
      <c r="C135" s="13">
        <f t="shared" ref="C135:D135" si="42">+C117+C125+C134</f>
        <v>-3860</v>
      </c>
      <c r="D135" s="13">
        <f t="shared" si="42"/>
        <v>-10435</v>
      </c>
    </row>
    <row r="136" spans="1:4" ht="16" thickBot="1" x14ac:dyDescent="0.25">
      <c r="A136" s="9" t="s">
        <v>79</v>
      </c>
      <c r="B136" s="14">
        <v>24977</v>
      </c>
      <c r="C136" s="14">
        <v>35929</v>
      </c>
      <c r="D136" s="14">
        <v>39789</v>
      </c>
    </row>
    <row r="137" spans="1:4" ht="16" thickTop="1" x14ac:dyDescent="0.2">
      <c r="B137" s="12"/>
      <c r="C137" s="12"/>
      <c r="D137" s="12"/>
    </row>
    <row r="138" spans="1:4" x14ac:dyDescent="0.2">
      <c r="A138" t="s">
        <v>80</v>
      </c>
      <c r="B138" s="12"/>
      <c r="C138" s="12"/>
      <c r="D138" s="12"/>
    </row>
    <row r="139" spans="1:4" x14ac:dyDescent="0.2">
      <c r="A139" t="s">
        <v>81</v>
      </c>
      <c r="B139" s="12">
        <v>19573</v>
      </c>
      <c r="C139" s="12">
        <v>25385</v>
      </c>
      <c r="D139" s="12">
        <v>9501</v>
      </c>
    </row>
    <row r="140" spans="1:4" x14ac:dyDescent="0.2">
      <c r="A140" t="s">
        <v>82</v>
      </c>
      <c r="B140" s="12">
        <v>2865</v>
      </c>
      <c r="C140" s="12">
        <v>2687</v>
      </c>
      <c r="D140" s="12">
        <v>3002</v>
      </c>
    </row>
    <row r="142" spans="1:4" x14ac:dyDescent="0.2">
      <c r="A142" s="7" t="s">
        <v>154</v>
      </c>
    </row>
    <row r="143" spans="1:4" x14ac:dyDescent="0.2">
      <c r="A143" s="1" t="s">
        <v>95</v>
      </c>
      <c r="B143" s="24">
        <f>-B122/B10</f>
        <v>2.7155058732831552E-2</v>
      </c>
      <c r="C143" s="24">
        <f t="shared" ref="C143:D143" si="43">-C122/C10</f>
        <v>3.0302036264033657E-2</v>
      </c>
      <c r="D143" s="24">
        <f t="shared" si="43"/>
        <v>2.6625138881299748E-2</v>
      </c>
    </row>
    <row r="144" spans="1:4" x14ac:dyDescent="0.2">
      <c r="A144" s="1" t="s">
        <v>96</v>
      </c>
      <c r="B144" s="24">
        <f>-B122/B64</f>
        <v>0.25424412944891611</v>
      </c>
      <c r="C144" s="24">
        <f t="shared" ref="C144:D144" si="44">-C122/C64</f>
        <v>0.28105983772819471</v>
      </c>
      <c r="D144" s="24">
        <f t="shared" si="44"/>
        <v>0.19879780231735844</v>
      </c>
    </row>
    <row r="147" spans="1:4" x14ac:dyDescent="0.2">
      <c r="A147" t="s">
        <v>157</v>
      </c>
      <c r="B147" s="32">
        <f>B76+B75+B81+B92</f>
        <v>170741</v>
      </c>
      <c r="C147" s="32">
        <f t="shared" ref="C147:D147" si="45">C76+C75+C81+C92</f>
        <v>187809</v>
      </c>
      <c r="D147" s="32">
        <f t="shared" si="45"/>
        <v>177775</v>
      </c>
    </row>
  </sheetData>
  <mergeCells count="6">
    <mergeCell ref="B3:D3"/>
    <mergeCell ref="B50:D50"/>
    <mergeCell ref="B98:D98"/>
    <mergeCell ref="A2:D2"/>
    <mergeCell ref="A49:D49"/>
    <mergeCell ref="A97:D9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"/>
  <sheetViews>
    <sheetView tabSelected="1" zoomScale="99" workbookViewId="0">
      <selection activeCell="B1" sqref="B1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1.332031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30" t="s">
        <v>23</v>
      </c>
      <c r="D2" s="30"/>
      <c r="E2" s="30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 s="28">
        <f>'Financial Statements'!B60/'Financial Statements'!B77</f>
        <v>0.87935602862672257</v>
      </c>
      <c r="D5" s="28">
        <f>'Financial Statements'!C60/'Financial Statements'!C77</f>
        <v>1.0745531195957954</v>
      </c>
      <c r="E5" s="28">
        <f>'Financial Statements'!D60/'Financial Statements'!D77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 s="27">
        <f>('Financial Statements'!B54+'Financial Statements'!B55+'Financial Statements'!B56)/'Financial Statements'!B77</f>
        <v>0.49673338442155579</v>
      </c>
      <c r="D6" s="27">
        <f>('Financial Statements'!C54+'Financial Statements'!C55+'Financial Statements'!C56)/'Financial Statements'!C77</f>
        <v>0.70860927152317876</v>
      </c>
      <c r="E6" s="27">
        <f>('Financial Statements'!D54+'Financial Statements'!D55+'Financial Statements'!D56)/'Financial Statements'!D77</f>
        <v>1.0158550933657204</v>
      </c>
    </row>
    <row r="7" spans="1:10" x14ac:dyDescent="0.2">
      <c r="A7" s="18">
        <f t="shared" si="0"/>
        <v>1.3000000000000003</v>
      </c>
      <c r="B7" s="1" t="s">
        <v>102</v>
      </c>
      <c r="C7">
        <f>('Financial Statements'!B54+'Financial Statements'!B55)/'Financial Statements'!B77</f>
        <v>0.31369900377966253</v>
      </c>
      <c r="D7">
        <f>('Financial Statements'!C54+'Financial Statements'!C55)/'Financial Statements'!C77</f>
        <v>0.49919111259872012</v>
      </c>
      <c r="E7">
        <f>('Financial Statements'!D54+'Financial Statements'!D55)/'Financial Statements'!D77</f>
        <v>0.86290230757552755</v>
      </c>
    </row>
    <row r="8" spans="1:10" x14ac:dyDescent="0.2">
      <c r="A8" s="18">
        <f t="shared" si="0"/>
        <v>1.4000000000000004</v>
      </c>
      <c r="B8" s="1" t="s">
        <v>103</v>
      </c>
      <c r="C8" s="28">
        <f>('Financial Statements'!B54+'Financial Statements'!B55+'Financial Statements'!B56)/(('Financial Statements'!B29)/365)</f>
        <v>543.73590417762193</v>
      </c>
      <c r="D8" s="28">
        <f>('Financial Statements'!C54+'Financial Statements'!C55+'Financial Statements'!C56)/(('Financial Statements'!C29)/365)</f>
        <v>739.50611798482464</v>
      </c>
      <c r="E8" s="28">
        <f>('Financial Statements'!D54+'Financial Statements'!D55+'Financial Statements'!D56)/(('Financial Statements'!D29)/365)</f>
        <v>1010.6029533464364</v>
      </c>
    </row>
    <row r="9" spans="1:10" x14ac:dyDescent="0.2">
      <c r="A9" s="18">
        <f t="shared" si="0"/>
        <v>1.5000000000000004</v>
      </c>
      <c r="B9" s="1" t="s">
        <v>104</v>
      </c>
      <c r="C9">
        <f>(365*('Financial Statements'!B57+'Financial Statements'!C57)/2)/'Financial Statements'!B15</f>
        <v>9.4096740715557416</v>
      </c>
      <c r="D9">
        <f>(365*('Financial Statements'!C57+'Financial Statements'!D57)/2)/'Financial Statements'!C15</f>
        <v>9.1181020842234748</v>
      </c>
      <c r="E9">
        <f>(365*('Financial Statements'!D57+'Financial Statements'!E57)/2)/'Financial Statements'!D15</f>
        <v>4.3709416781179415</v>
      </c>
    </row>
    <row r="10" spans="1:10" x14ac:dyDescent="0.2">
      <c r="A10" s="18">
        <f t="shared" si="0"/>
        <v>1.6000000000000005</v>
      </c>
      <c r="B10" s="1" t="s">
        <v>105</v>
      </c>
      <c r="C10">
        <f>(365*('Financial Statements'!B72+'Financial Statements'!C72)/2)/'Financial Statements'!B15</f>
        <v>97.050428099809437</v>
      </c>
      <c r="D10">
        <f>(365*('Financial Statements'!C72+'Financial Statements'!D72)/2)/'Financial Statements'!C15</f>
        <v>83.168299050150011</v>
      </c>
      <c r="E10">
        <f>(365*('Financial Statements'!D72+'Financial Statements'!E72)/2)/'Financial Statements'!D15</f>
        <v>45.524094857837092</v>
      </c>
    </row>
    <row r="11" spans="1:10" x14ac:dyDescent="0.2">
      <c r="A11" s="18">
        <f t="shared" si="0"/>
        <v>1.7000000000000006</v>
      </c>
      <c r="B11" s="1" t="s">
        <v>106</v>
      </c>
      <c r="C11">
        <f>(365*('Financial Statements'!B56+'Financial Statements'!C56)/2)/'Financial Statements'!B10</f>
        <v>25.20570438822503</v>
      </c>
      <c r="D11">
        <f>(365*('Financial Statements'!C56+'Financial Statements'!D56)/2)/'Financial Statements'!C10</f>
        <v>21.151655062503931</v>
      </c>
      <c r="E11">
        <f>(365*('Financial Statements'!D56+'Financial Statements'!E56)/2)/'Financial Statements'!D10</f>
        <v>10.716718576398375</v>
      </c>
    </row>
    <row r="12" spans="1:10" x14ac:dyDescent="0.2">
      <c r="A12" s="18">
        <f t="shared" si="0"/>
        <v>1.8000000000000007</v>
      </c>
      <c r="B12" s="1" t="s">
        <v>107</v>
      </c>
      <c r="C12">
        <f>C9+C11-C10</f>
        <v>-62.435049640028666</v>
      </c>
      <c r="D12">
        <f t="shared" ref="D12:E12" si="1">D9+D11-D10</f>
        <v>-52.898541903422604</v>
      </c>
      <c r="E12">
        <f t="shared" si="1"/>
        <v>-30.436434603320777</v>
      </c>
    </row>
    <row r="13" spans="1:10" x14ac:dyDescent="0.2">
      <c r="A13" s="18">
        <f t="shared" si="0"/>
        <v>1.9000000000000008</v>
      </c>
      <c r="B13" s="1" t="s">
        <v>108</v>
      </c>
      <c r="C13" s="24">
        <f>C14/'Financial Statements'!B10</f>
        <v>-4.711052727678481E-2</v>
      </c>
      <c r="D13" s="24">
        <f>D14/'Financial Statements'!C10</f>
        <v>2.557289573748623E-2</v>
      </c>
      <c r="E13" s="24">
        <f>E14/'Financial Statements'!D10</f>
        <v>0.13959528623208203</v>
      </c>
    </row>
    <row r="14" spans="1:10" x14ac:dyDescent="0.2">
      <c r="A14" s="18"/>
      <c r="B14" s="3" t="s">
        <v>155</v>
      </c>
      <c r="C14">
        <f>'Financial Statements'!B60-'Financial Statements'!B77</f>
        <v>-18577</v>
      </c>
      <c r="D14">
        <f>'Financial Statements'!C60-'Financial Statements'!C77</f>
        <v>9355</v>
      </c>
      <c r="E14">
        <f>'Financial Statements'!D60-'Financial Statements'!D77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109</v>
      </c>
    </row>
    <row r="17" spans="1:5" x14ac:dyDescent="0.2">
      <c r="A17" s="18">
        <f>+A16+0.1</f>
        <v>2.1</v>
      </c>
      <c r="B17" s="1" t="s">
        <v>9</v>
      </c>
      <c r="C17" s="29">
        <f>'Financial Statements'!B20</f>
        <v>0.43309630561360085</v>
      </c>
      <c r="D17" s="29">
        <f>'Financial Statements'!C20</f>
        <v>0.41779359625167778</v>
      </c>
      <c r="E17" s="29">
        <f>'Financial Statements'!D20</f>
        <v>0.38233247727810865</v>
      </c>
    </row>
    <row r="18" spans="1:5" x14ac:dyDescent="0.2">
      <c r="A18" s="18">
        <f>+A17+0.1</f>
        <v>2.2000000000000002</v>
      </c>
      <c r="B18" s="1" t="s">
        <v>110</v>
      </c>
      <c r="C18" s="24">
        <f>C19/'Financial Statements'!B10</f>
        <v>0.3310467428130896</v>
      </c>
      <c r="D18" s="24">
        <f>D19/'Financial Statements'!C10</f>
        <v>0.32866979938056462</v>
      </c>
      <c r="E18" s="24">
        <f>E19/'Financial Statements'!D10</f>
        <v>0.2817478097736007</v>
      </c>
    </row>
    <row r="19" spans="1:5" x14ac:dyDescent="0.2">
      <c r="A19" s="18"/>
      <c r="B19" s="3" t="s">
        <v>111</v>
      </c>
      <c r="C19">
        <f>'Financial Statements'!B31</f>
        <v>130541</v>
      </c>
      <c r="D19">
        <f>'Financial Statements'!C31</f>
        <v>120233</v>
      </c>
      <c r="E19">
        <f>'Financial Statements'!D31</f>
        <v>77344</v>
      </c>
    </row>
    <row r="20" spans="1:5" x14ac:dyDescent="0.2">
      <c r="A20" s="18">
        <f>+A18+0.1</f>
        <v>2.3000000000000003</v>
      </c>
      <c r="B20" s="1" t="s">
        <v>112</v>
      </c>
      <c r="C20" s="24">
        <f>C21/'Financial Statements'!B10</f>
        <v>0.30288744395528594</v>
      </c>
      <c r="D20" s="24">
        <f>D21/'Financial Statements'!C10</f>
        <v>0.29782377527561593</v>
      </c>
      <c r="E20" s="24">
        <f>E21/'Financial Statements'!D10</f>
        <v>0.24147314354406862</v>
      </c>
    </row>
    <row r="21" spans="1:5" x14ac:dyDescent="0.2">
      <c r="A21" s="18"/>
      <c r="B21" s="3" t="s">
        <v>113</v>
      </c>
      <c r="C21">
        <f>'Financial Statements'!B32</f>
        <v>119437</v>
      </c>
      <c r="D21">
        <f>'Financial Statements'!C32</f>
        <v>108949</v>
      </c>
      <c r="E21">
        <f>'Financial Statements'!D32</f>
        <v>66288</v>
      </c>
    </row>
    <row r="22" spans="1:5" x14ac:dyDescent="0.2">
      <c r="A22" s="18">
        <f>+A20+0.1</f>
        <v>2.4000000000000004</v>
      </c>
      <c r="B22" s="1" t="s">
        <v>114</v>
      </c>
      <c r="C22" s="29">
        <f>'Financial Statements'!B40</f>
        <v>0.25309640705199732</v>
      </c>
      <c r="D22" s="29">
        <f>'Financial Statements'!C40</f>
        <v>0.25881793355694238</v>
      </c>
      <c r="E22" s="29">
        <f>'Financial Statements'!D40</f>
        <v>0.20913611278072236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115</v>
      </c>
    </row>
    <row r="25" spans="1:5" x14ac:dyDescent="0.2">
      <c r="A25" s="18">
        <f>+A24+0.1</f>
        <v>3.1</v>
      </c>
      <c r="B25" s="1" t="s">
        <v>116</v>
      </c>
      <c r="C25" s="27">
        <f>('Financial Statements'!B76+'Financial Statements'!B75+'Financial Statements'!B81)/'Financial Statements'!B92</f>
        <v>2.3695334701610355</v>
      </c>
      <c r="D25" s="27">
        <f>('Financial Statements'!C76+'Financial Statements'!C75+'Financial Statements'!C81)/'Financial Statements'!C92</f>
        <v>1.9768426058012363</v>
      </c>
      <c r="E25" s="27">
        <f>('Financial Statements'!D76+'Financial Statements'!D75+'Financial Statements'!D81)/'Financial Statements'!D92</f>
        <v>1.7208099297509909</v>
      </c>
    </row>
    <row r="26" spans="1:5" x14ac:dyDescent="0.2">
      <c r="A26" s="18">
        <f t="shared" ref="A26:A30" si="2">+A25+0.1</f>
        <v>3.2</v>
      </c>
      <c r="B26" s="1" t="s">
        <v>117</v>
      </c>
      <c r="C26">
        <f>('Financial Statements'!B76+'Financial Statements'!B75+'Financial Statements'!B81)/'Financial Statements'!B68</f>
        <v>0.34037504783773442</v>
      </c>
      <c r="D26">
        <f>('Financial Statements'!C76+'Financial Statements'!C75+'Financial Statements'!C81)/'Financial Statements'!C68</f>
        <v>0.35532276169366556</v>
      </c>
      <c r="E26">
        <f>('Financial Statements'!D76+'Financial Statements'!D75+'Financial Statements'!D81)/'Financial Statements'!D68</f>
        <v>0.34714469199229364</v>
      </c>
    </row>
    <row r="27" spans="1:5" x14ac:dyDescent="0.2">
      <c r="A27" s="18">
        <f t="shared" si="2"/>
        <v>3.3000000000000003</v>
      </c>
      <c r="B27" s="1" t="s">
        <v>118</v>
      </c>
      <c r="C27">
        <f>('Financial Statements'!B81)/('Financial Statements'!B81+'Financial Statements'!B92)</f>
        <v>0.66135359651409131</v>
      </c>
      <c r="D27">
        <f>('Financial Statements'!C81)/('Financial Statements'!C81+'Financial Statements'!C92)</f>
        <v>0.63361518269878514</v>
      </c>
      <c r="E27">
        <f>('Financial Statements'!D81)/('Financial Statements'!D81+'Financial Statements'!D92)</f>
        <v>0.60160603880345842</v>
      </c>
    </row>
    <row r="28" spans="1:5" x14ac:dyDescent="0.2">
      <c r="A28" s="18">
        <f t="shared" si="2"/>
        <v>3.4000000000000004</v>
      </c>
      <c r="B28" s="1" t="s">
        <v>119</v>
      </c>
      <c r="C28">
        <f>'Financial Statements'!B32/'Financial Statements'!B140</f>
        <v>41.68830715532286</v>
      </c>
      <c r="D28">
        <f>'Financial Statements'!C32/'Financial Statements'!C140</f>
        <v>40.546706363974693</v>
      </c>
      <c r="E28">
        <f>'Financial Statements'!D32/'Financial Statements'!D140</f>
        <v>22.081279147235175</v>
      </c>
    </row>
    <row r="29" spans="1:5" x14ac:dyDescent="0.2">
      <c r="A29" s="18">
        <f t="shared" si="2"/>
        <v>3.5000000000000004</v>
      </c>
      <c r="B29" s="1" t="s">
        <v>120</v>
      </c>
      <c r="C29">
        <f>'Financial Statements'!B31/('Financial Statements'!B140-'Financial Statements'!B131)</f>
        <v>10.520712443584785</v>
      </c>
      <c r="D29">
        <f>'Financial Statements'!C31/('Financial Statements'!C140-'Financial Statements'!C131)</f>
        <v>10.512634432106321</v>
      </c>
      <c r="E29">
        <f>'Financial Statements'!D31/('Financial Statements'!D140-'Financial Statements'!D131)</f>
        <v>4.948115923485382</v>
      </c>
    </row>
    <row r="30" spans="1:5" x14ac:dyDescent="0.2">
      <c r="A30" s="18">
        <f t="shared" si="2"/>
        <v>3.6000000000000005</v>
      </c>
      <c r="B30" s="1" t="s">
        <v>121</v>
      </c>
      <c r="C30">
        <f>C31*1000/'Financial Statements'!B45</f>
        <v>6.864840527818175</v>
      </c>
      <c r="D30">
        <f>D31*1000/'Financial Statements'!C45</f>
        <v>6.3239494572628958</v>
      </c>
      <c r="E30">
        <f>E31*1000/'Financial Statements'!D45</f>
        <v>4.3720308741543326</v>
      </c>
    </row>
    <row r="31" spans="1:5" x14ac:dyDescent="0.2">
      <c r="A31" s="18"/>
      <c r="B31" s="3" t="s">
        <v>122</v>
      </c>
      <c r="C31">
        <f>'Financial Statements'!B117+'Financial Statements'!B122+'Financial Statements'!B130+'Financial Statements'!B131+'Financial Statements'!B132</f>
        <v>111320</v>
      </c>
      <c r="D31">
        <f>'Financial Statements'!C117+'Financial Statements'!C122+'Financial Statements'!C130+'Financial Statements'!C131+'Financial Statements'!C132</f>
        <v>105618</v>
      </c>
      <c r="E31">
        <f>'Financial Statements'!D117+'Financial Statements'!D122+'Financial Statements'!D130+'Financial Statements'!D131+'Financial Statements'!D132</f>
        <v>75864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123</v>
      </c>
    </row>
    <row r="34" spans="1:5" x14ac:dyDescent="0.2">
      <c r="A34" s="18">
        <f>+A33+0.1</f>
        <v>4.0999999999999996</v>
      </c>
      <c r="B34" s="1" t="s">
        <v>124</v>
      </c>
      <c r="C34">
        <f>'Financial Statements'!B10/(('Financial Statements'!B68+'Financial Statements'!C68)/2)</f>
        <v>1.1206368107173357</v>
      </c>
      <c r="D34">
        <f>'Financial Statements'!C10/(('Financial Statements'!C68+'Financial Statements'!D68)/2)</f>
        <v>1.084078886929722</v>
      </c>
      <c r="E34">
        <f>'Financial Statements'!D10/(('Financial Statements'!D68+'Financial Statements'!E68)/2)</f>
        <v>1.695123005483377</v>
      </c>
    </row>
    <row r="35" spans="1:5" x14ac:dyDescent="0.2">
      <c r="A35" s="18">
        <f t="shared" ref="A35:A37" si="3">+A34+0.1</f>
        <v>4.1999999999999993</v>
      </c>
      <c r="B35" s="1" t="s">
        <v>125</v>
      </c>
      <c r="C35">
        <f>'Financial Statements'!B10/(('Financial Statements'!B64+'Financial Statements'!C64)/2)</f>
        <v>9.6699976703409884</v>
      </c>
      <c r="D35">
        <f>'Financial Statements'!C10/(('Financial Statements'!C64+'Financial Statements'!D64)/2)</f>
        <v>9.6007400992047867</v>
      </c>
      <c r="E35">
        <f>'Financial Statements'!D10/(('Financial Statements'!D64+'Financial Statements'!E64)/2)</f>
        <v>14.933090355219496</v>
      </c>
    </row>
    <row r="36" spans="1:5" x14ac:dyDescent="0.2">
      <c r="A36" s="18">
        <f t="shared" si="3"/>
        <v>4.2999999999999989</v>
      </c>
      <c r="B36" s="1" t="s">
        <v>126</v>
      </c>
      <c r="C36">
        <f>365/C9</f>
        <v>38.789866389033492</v>
      </c>
      <c r="D36">
        <f t="shared" ref="D36:E36" si="4">365/D9</f>
        <v>40.030260313880277</v>
      </c>
      <c r="E36">
        <f t="shared" si="4"/>
        <v>83.506032996798808</v>
      </c>
    </row>
    <row r="37" spans="1:5" x14ac:dyDescent="0.2">
      <c r="A37" s="18">
        <f t="shared" si="3"/>
        <v>4.3999999999999986</v>
      </c>
      <c r="B37" s="1" t="s">
        <v>127</v>
      </c>
      <c r="C37" s="24">
        <f>'Financial Statements'!B39/(('Financial Statements'!B68+'Financial Statements'!C68)/2)</f>
        <v>0.28362915040276687</v>
      </c>
      <c r="D37" s="24">
        <f>'Financial Statements'!C39/(('Financial Statements'!C68+'Financial Statements'!D68)/2)</f>
        <v>0.28057905732786081</v>
      </c>
      <c r="E37" s="24">
        <f>'Financial Statements'!D39/(('Financial Statements'!D68+'Financial Statements'!E68)/2)</f>
        <v>0.35451143605196861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128</v>
      </c>
    </row>
    <row r="40" spans="1:5" x14ac:dyDescent="0.2">
      <c r="A40" s="18">
        <f>+A39+0.1</f>
        <v>5.0999999999999996</v>
      </c>
      <c r="B40" s="1" t="s">
        <v>129</v>
      </c>
      <c r="C40">
        <f>C53/C41</f>
        <v>21.126829268292681</v>
      </c>
      <c r="D40">
        <f t="shared" ref="D40:E40" si="5">D53/D41</f>
        <v>31.317460317460316</v>
      </c>
      <c r="E40">
        <f t="shared" si="5"/>
        <v>40.087613293051355</v>
      </c>
    </row>
    <row r="41" spans="1:5" x14ac:dyDescent="0.2">
      <c r="A41" s="18">
        <f t="shared" ref="A41:A44" si="6">+A40+0.1</f>
        <v>5.1999999999999993</v>
      </c>
      <c r="B41" s="3" t="s">
        <v>130</v>
      </c>
      <c r="C41">
        <f>'Financial Statements'!B42</f>
        <v>6.15</v>
      </c>
      <c r="D41">
        <f>'Financial Statements'!C42</f>
        <v>5.67</v>
      </c>
      <c r="E41">
        <f>'Financial Statements'!D42</f>
        <v>3.31</v>
      </c>
    </row>
    <row r="42" spans="1:5" x14ac:dyDescent="0.2">
      <c r="A42" s="18">
        <f t="shared" si="6"/>
        <v>5.2999999999999989</v>
      </c>
      <c r="B42" s="1" t="s">
        <v>131</v>
      </c>
      <c r="C42">
        <f>C53/C43</f>
        <v>42.20216632015709</v>
      </c>
      <c r="D42">
        <f t="shared" ref="D42:E42" si="7">D53/D43</f>
        <v>47.922496749643365</v>
      </c>
      <c r="E42">
        <f t="shared" si="7"/>
        <v>17.619283047720351</v>
      </c>
    </row>
    <row r="43" spans="1:5" x14ac:dyDescent="0.2">
      <c r="A43" s="18">
        <f t="shared" si="6"/>
        <v>5.3999999999999986</v>
      </c>
      <c r="B43" s="3" t="s">
        <v>132</v>
      </c>
      <c r="C43">
        <f>'Financial Statements'!B92*1000/(('Financial Statements'!B45+'Financial Statements'!C45)/2)</f>
        <v>3.07875190610633</v>
      </c>
      <c r="D43">
        <f>'Financial Statements'!C92*1000/(('Financial Statements'!C45+'Financial Statements'!D45)/2)</f>
        <v>3.7053578599558556</v>
      </c>
      <c r="E43">
        <f>'Financial Statements'!D92*1000/(('Financial Statements'!D45+'Financial Statements'!E45)/2)</f>
        <v>7.5309534241898639</v>
      </c>
    </row>
    <row r="44" spans="1:5" x14ac:dyDescent="0.2">
      <c r="A44" s="18">
        <f t="shared" si="6"/>
        <v>5.4999999999999982</v>
      </c>
      <c r="B44" s="1" t="s">
        <v>133</v>
      </c>
      <c r="C44" s="24">
        <f>C45/C41</f>
        <v>0.14881451886066324</v>
      </c>
      <c r="D44" s="24">
        <f t="shared" ref="D44:E44" si="8">D45/D41</f>
        <v>0.15277274199029781</v>
      </c>
      <c r="E44" s="24">
        <f t="shared" si="8"/>
        <v>0.24516190500128213</v>
      </c>
    </row>
    <row r="45" spans="1:5" x14ac:dyDescent="0.2">
      <c r="A45" s="18"/>
      <c r="B45" s="3" t="s">
        <v>134</v>
      </c>
      <c r="C45">
        <f>-'Financial Statements'!B128*1000/'Financial Statements'!B45</f>
        <v>0.91520929099307891</v>
      </c>
      <c r="D45">
        <f>-'Financial Statements'!C128*1000/'Financial Statements'!C45</f>
        <v>0.86622144708498849</v>
      </c>
      <c r="E45">
        <f>-'Financial Statements'!D128*1000/'Financial Statements'!D45</f>
        <v>0.81148590555424382</v>
      </c>
    </row>
    <row r="46" spans="1:5" x14ac:dyDescent="0.2">
      <c r="A46" s="18">
        <f>+A44+0.1</f>
        <v>5.5999999999999979</v>
      </c>
      <c r="B46" s="1" t="s">
        <v>135</v>
      </c>
      <c r="C46" s="24">
        <f>C45/C53</f>
        <v>7.0438643191955584E-3</v>
      </c>
      <c r="D46" s="24">
        <f t="shared" ref="D46:E46" si="9">D45/D53</f>
        <v>4.8781970326349528E-3</v>
      </c>
      <c r="E46" s="24">
        <f t="shared" si="9"/>
        <v>6.1156523140722275E-3</v>
      </c>
    </row>
    <row r="47" spans="1:5" x14ac:dyDescent="0.2">
      <c r="A47" s="18">
        <f t="shared" ref="A47:A50" si="10">+A45+0.1</f>
        <v>0.1</v>
      </c>
      <c r="B47" s="1" t="s">
        <v>136</v>
      </c>
      <c r="C47">
        <f>'Financial Statements'!B39/(('Financial Statements'!B92+'Financial Statements'!C92)/2)</f>
        <v>1.7545929220653644</v>
      </c>
      <c r="D47">
        <f>'Financial Statements'!C39/(('Financial Statements'!C92+'Financial Statements'!D92)/2)</f>
        <v>1.4744333444938449</v>
      </c>
      <c r="E47">
        <f>'Financial Statements'!D39/(('Financial Statements'!D92+'Financial Statements'!E92)/2)</f>
        <v>1.7573271706025497</v>
      </c>
    </row>
    <row r="48" spans="1:5" x14ac:dyDescent="0.2">
      <c r="A48" s="18">
        <f t="shared" si="10"/>
        <v>5.6999999999999975</v>
      </c>
      <c r="B48" s="1" t="s">
        <v>137</v>
      </c>
      <c r="C48" s="24">
        <f>'Financial Statements'!B32/(('Financial Statements'!B147+'Financial Statements'!C147)/2)</f>
        <v>0.66622228420025098</v>
      </c>
      <c r="D48" s="24">
        <f>'Financial Statements'!C32/(('Financial Statements'!C147+'Financial Statements'!D147)/2)</f>
        <v>0.59602717843231656</v>
      </c>
      <c r="E48" s="24">
        <f>'Financial Statements'!D32/(('Financial Statements'!D147+'Financial Statements'!E147)/2)</f>
        <v>0.74575165236956831</v>
      </c>
    </row>
    <row r="49" spans="1:5" x14ac:dyDescent="0.2">
      <c r="A49" s="18">
        <f t="shared" si="10"/>
        <v>0.2</v>
      </c>
      <c r="B49" s="1" t="s">
        <v>127</v>
      </c>
      <c r="C49" s="24">
        <f>'Financial Statements'!B39/(('Financial Statements'!B68+'Financial Statements'!C68)/2)</f>
        <v>0.28362915040276687</v>
      </c>
      <c r="D49" s="24">
        <f>'Financial Statements'!C39/(('Financial Statements'!C68+'Financial Statements'!D68)/2)</f>
        <v>0.28057905732786081</v>
      </c>
      <c r="E49" s="24">
        <f>'Financial Statements'!D39/(('Financial Statements'!D68+'Financial Statements'!E68)/2)</f>
        <v>0.35451143605196861</v>
      </c>
    </row>
    <row r="50" spans="1:5" x14ac:dyDescent="0.2">
      <c r="A50" s="18">
        <f t="shared" si="10"/>
        <v>5.7999999999999972</v>
      </c>
      <c r="B50" s="1" t="s">
        <v>138</v>
      </c>
      <c r="C50">
        <f>C51/C19</f>
        <v>16.87870533081561</v>
      </c>
      <c r="D50">
        <f t="shared" ref="D50:E50" si="11">D51/D19</f>
        <v>25.412522926650752</v>
      </c>
      <c r="E50">
        <f t="shared" si="11"/>
        <v>30.73118367436388</v>
      </c>
    </row>
    <row r="51" spans="1:5" x14ac:dyDescent="0.2">
      <c r="A51" s="18"/>
      <c r="B51" s="3" t="s">
        <v>139</v>
      </c>
      <c r="C51">
        <f>C54+'Financial Statements'!B76+'Financial Statements'!B75+'Financial Statements'!B81-'Financial Statements'!B54</f>
        <v>2203363.0725900005</v>
      </c>
      <c r="D51">
        <f>D54+'Financial Statements'!C76+'Financial Statements'!C75+'Financial Statements'!C81-'Financial Statements'!C54</f>
        <v>3055423.8690399998</v>
      </c>
      <c r="E51">
        <f>E54+'Financial Statements'!D76+'Financial Statements'!D75+'Financial Statements'!D81-'Financial Statements'!D54</f>
        <v>2376872.6701099998</v>
      </c>
    </row>
    <row r="53" spans="1:5" x14ac:dyDescent="0.2">
      <c r="B53" s="1" t="s">
        <v>156</v>
      </c>
      <c r="C53">
        <v>129.93</v>
      </c>
      <c r="D53">
        <v>177.57</v>
      </c>
      <c r="E53">
        <v>132.69</v>
      </c>
    </row>
    <row r="54" spans="1:5" x14ac:dyDescent="0.2">
      <c r="B54" s="1" t="s">
        <v>158</v>
      </c>
      <c r="C54">
        <f>C53*'Financial Statements'!B45*1000/1000000</f>
        <v>2106940.0725900005</v>
      </c>
      <c r="D54">
        <f>D53*'Financial Statements'!C45*1000/1000000</f>
        <v>2965644.8690399998</v>
      </c>
      <c r="E54">
        <f>E53*'Financial Statements'!D45*1000/1000000</f>
        <v>2302452.6701099998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Vinay Lakhera</cp:lastModifiedBy>
  <dcterms:created xsi:type="dcterms:W3CDTF">2020-05-18T16:32:37Z</dcterms:created>
  <dcterms:modified xsi:type="dcterms:W3CDTF">2024-09-05T07:15:22Z</dcterms:modified>
</cp:coreProperties>
</file>