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Quill Capital Partners Investment Anaysis Training\"/>
    </mc:Choice>
  </mc:AlternateContent>
  <bookViews>
    <workbookView xWindow="0" yWindow="0" windowWidth="2172" windowHeight="0" activeTab="2"/>
  </bookViews>
  <sheets>
    <sheet name="Instructions" sheetId="2" r:id="rId1"/>
    <sheet name="Financial Statements" sheetId="1" r:id="rId2"/>
    <sheet name="List of Ratios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6" i="3" l="1"/>
  <c r="C76" i="3"/>
  <c r="D75" i="3"/>
  <c r="C75" i="3"/>
  <c r="D74" i="3"/>
  <c r="E74" i="3"/>
  <c r="C74" i="3"/>
  <c r="D70" i="3"/>
  <c r="E70" i="3"/>
  <c r="C70" i="3"/>
  <c r="D69" i="3"/>
  <c r="E69" i="3"/>
  <c r="C69" i="3"/>
  <c r="D68" i="3"/>
  <c r="E68" i="3"/>
  <c r="C68" i="3"/>
  <c r="D67" i="3"/>
  <c r="E67" i="3"/>
  <c r="C67" i="3"/>
  <c r="D66" i="3"/>
  <c r="E66" i="3"/>
  <c r="C66" i="3"/>
  <c r="D65" i="3"/>
  <c r="E65" i="3"/>
  <c r="C65" i="3"/>
  <c r="D61" i="3"/>
  <c r="C61" i="3"/>
  <c r="D60" i="3"/>
  <c r="C60" i="3"/>
  <c r="D59" i="3"/>
  <c r="C59" i="3"/>
  <c r="D58" i="3"/>
  <c r="C58" i="3"/>
  <c r="D57" i="3"/>
  <c r="C57" i="3"/>
  <c r="D56" i="3"/>
  <c r="C56" i="3"/>
  <c r="D50" i="3"/>
  <c r="E50" i="3"/>
  <c r="D51" i="3"/>
  <c r="E51" i="3"/>
  <c r="C50" i="3"/>
  <c r="C51" i="3"/>
  <c r="D49" i="3"/>
  <c r="E49" i="3"/>
  <c r="C49" i="3"/>
  <c r="D48" i="3"/>
  <c r="E48" i="3"/>
  <c r="C48" i="3"/>
  <c r="D47" i="3"/>
  <c r="E47" i="3"/>
  <c r="C47" i="3"/>
  <c r="D46" i="3"/>
  <c r="E46" i="3"/>
  <c r="C46" i="3"/>
  <c r="D44" i="3"/>
  <c r="E44" i="3"/>
  <c r="C44" i="3"/>
  <c r="D45" i="3"/>
  <c r="E45" i="3"/>
  <c r="C45" i="3"/>
  <c r="D42" i="3"/>
  <c r="E42" i="3"/>
  <c r="C42" i="3"/>
  <c r="D41" i="3"/>
  <c r="D40" i="3" s="1"/>
  <c r="E41" i="3"/>
  <c r="E40" i="3" s="1"/>
  <c r="C41" i="3"/>
  <c r="C40" i="3" s="1"/>
  <c r="D43" i="3"/>
  <c r="E43" i="3"/>
  <c r="C43" i="3"/>
  <c r="D30" i="3"/>
  <c r="C30" i="3"/>
  <c r="D37" i="3" l="1"/>
  <c r="E37" i="3"/>
  <c r="C37" i="3"/>
  <c r="D36" i="3"/>
  <c r="E36" i="3"/>
  <c r="C36" i="3"/>
  <c r="D35" i="3"/>
  <c r="E35" i="3"/>
  <c r="C35" i="3"/>
  <c r="D34" i="3"/>
  <c r="E34" i="3"/>
  <c r="C34" i="3"/>
  <c r="D31" i="3"/>
  <c r="C31" i="3"/>
  <c r="D29" i="3" l="1"/>
  <c r="E29" i="3"/>
  <c r="C29" i="3"/>
  <c r="D28" i="3"/>
  <c r="E28" i="3"/>
  <c r="C28" i="3"/>
  <c r="D27" i="3"/>
  <c r="E27" i="3"/>
  <c r="C27" i="3"/>
  <c r="D26" i="3"/>
  <c r="E26" i="3"/>
  <c r="C26" i="3"/>
  <c r="D25" i="3"/>
  <c r="E25" i="3"/>
  <c r="C25" i="3"/>
  <c r="D22" i="3"/>
  <c r="E22" i="3"/>
  <c r="C22" i="3"/>
  <c r="D20" i="3"/>
  <c r="E20" i="3"/>
  <c r="C20" i="3"/>
  <c r="D21" i="3"/>
  <c r="E21" i="3"/>
  <c r="C21" i="3"/>
  <c r="D18" i="3"/>
  <c r="E18" i="3"/>
  <c r="C18" i="3"/>
  <c r="D19" i="3"/>
  <c r="E19" i="3"/>
  <c r="C19" i="3"/>
  <c r="D17" i="3"/>
  <c r="E17" i="3"/>
  <c r="C17" i="3"/>
  <c r="D13" i="3" l="1"/>
  <c r="E13" i="3"/>
  <c r="C13" i="3"/>
  <c r="D14" i="3"/>
  <c r="E14" i="3"/>
  <c r="C14" i="3"/>
  <c r="D12" i="3"/>
  <c r="E12" i="3"/>
  <c r="C12" i="3"/>
  <c r="D11" i="3"/>
  <c r="E11" i="3"/>
  <c r="D10" i="3"/>
  <c r="E10" i="3"/>
  <c r="C10" i="3"/>
  <c r="C11" i="3"/>
  <c r="D9" i="3" l="1"/>
  <c r="E9" i="3"/>
  <c r="C9" i="3"/>
  <c r="D8" i="3" l="1"/>
  <c r="E8" i="3"/>
  <c r="C8" i="3"/>
  <c r="E7" i="3"/>
  <c r="D7" i="3"/>
  <c r="C7" i="3"/>
  <c r="D6" i="3"/>
  <c r="E6" i="3"/>
  <c r="C6" i="3"/>
  <c r="E5" i="3"/>
  <c r="D5" i="3"/>
  <c r="C5" i="3"/>
  <c r="D108" i="1" l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B62" i="1" s="1"/>
  <c r="D47" i="1"/>
  <c r="C47" i="1"/>
  <c r="B47" i="1"/>
  <c r="D42" i="1"/>
  <c r="C42" i="1"/>
  <c r="B42" i="1"/>
  <c r="B48" i="1" s="1"/>
  <c r="D17" i="1"/>
  <c r="C17" i="1"/>
  <c r="B17" i="1"/>
  <c r="D13" i="1"/>
  <c r="D18" i="1" s="1"/>
  <c r="D20" i="1" s="1"/>
  <c r="D22" i="1" s="1"/>
  <c r="D76" i="1" s="1"/>
  <c r="D91" i="1" s="1"/>
  <c r="D109" i="1" s="1"/>
  <c r="D12" i="1"/>
  <c r="C12" i="1"/>
  <c r="B12" i="1"/>
  <c r="D8" i="1"/>
  <c r="C8" i="1"/>
  <c r="C13" i="1" s="1"/>
  <c r="B8" i="1"/>
  <c r="B13" i="1" s="1"/>
  <c r="E3" i="3"/>
  <c r="D3" i="3"/>
  <c r="C3" i="3"/>
  <c r="D33" i="1"/>
  <c r="D73" i="1" s="1"/>
  <c r="C33" i="1"/>
  <c r="C73" i="1" s="1"/>
  <c r="B33" i="1"/>
  <c r="B73" i="1" s="1"/>
  <c r="C18" i="1" l="1"/>
  <c r="C20" i="1" s="1"/>
  <c r="C22" i="1" s="1"/>
  <c r="C76" i="1" s="1"/>
  <c r="C91" i="1" s="1"/>
  <c r="C109" i="1" s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<sst xmlns="http://schemas.openxmlformats.org/spreadsheetml/2006/main" count="201" uniqueCount="172">
  <si>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</si>
  <si>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</si>
  <si>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</si>
  <si>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</si>
  <si>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</si>
  <si>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</si>
  <si>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</si>
  <si>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</si>
  <si>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</si>
  <si>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</si>
  <si>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</si>
  <si>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</si>
  <si>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</si>
  <si>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</si>
  <si>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</si>
  <si>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</si>
  <si>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</si>
  <si>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</si>
  <si>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</si>
  <si>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</si>
  <si>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</si>
  <si>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</si>
  <si>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</si>
  <si>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</si>
  <si>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</si>
  <si>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</si>
  <si>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</si>
  <si>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</si>
  <si>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</si>
  <si>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</si>
  <si>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</si>
  <si>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</si>
  <si>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</si>
  <si>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</si>
  <si>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</si>
  <si>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</si>
  <si>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</si>
  <si>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</si>
  <si>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</si>
  <si>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</si>
  <si>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</si>
  <si>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</si>
  <si>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</si>
  <si>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</si>
  <si>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</si>
  <si>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</si>
  <si>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</si>
  <si>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</si>
  <si>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</si>
  <si>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</si>
  <si>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</si>
  <si>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</si>
  <si>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</si>
  <si>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</si>
  <si>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</si>
  <si>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</si>
  <si>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</si>
  <si>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</si>
  <si>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</si>
  <si>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</si>
  <si>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</si>
  <si>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</si>
  <si>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</si>
  <si>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</si>
  <si>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</si>
  <si>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</si>
  <si>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</si>
  <si>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</si>
  <si>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</si>
  <si>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</si>
  <si>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</si>
  <si>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</si>
  <si>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</si>
  <si>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</si>
  <si>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</si>
  <si>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</si>
  <si>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</si>
  <si>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</si>
  <si>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</si>
  <si>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</si>
  <si>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</si>
  <si>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</si>
  <si>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</si>
  <si>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</si>
  <si>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</si>
  <si>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</si>
  <si>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</si>
  <si>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</si>
  <si>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</si>
  <si>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</si>
  <si>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</si>
  <si>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</si>
  <si>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</si>
  <si>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</si>
  <si>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</si>
  <si>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</si>
  <si>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</si>
  <si>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</si>
  <si>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</si>
  <si>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</si>
  <si>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</si>
  <si>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</si>
  <si>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</si>
  <si>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</si>
  <si>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</si>
  <si>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</si>
  <si>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</si>
  <si>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</si>
  <si>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</si>
  <si>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</si>
  <si>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</si>
  <si>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</si>
  <si>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</si>
  <si>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</si>
  <si>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</si>
  <si>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</si>
  <si>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</si>
  <si>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</si>
  <si>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</si>
  <si>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</si>
  <si>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</si>
  <si>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</si>
  <si>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</si>
  <si>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</si>
  <si>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</si>
  <si>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</si>
  <si>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</si>
  <si>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</si>
  <si>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</si>
  <si>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</si>
  <si>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</si>
  <si>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</si>
  <si>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</si>
  <si>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</si>
  <si>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</si>
  <si>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</si>
  <si>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</si>
  <si>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</si>
  <si>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</si>
  <si>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</si>
  <si>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</si>
  <si>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</si>
  <si>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</si>
  <si>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</si>
  <si>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</si>
  <si>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</si>
  <si>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</si>
  <si>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</si>
  <si>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</si>
  <si>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</si>
  <si>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Growth Rates:</t>
  </si>
  <si>
    <t>Product Sales</t>
  </si>
  <si>
    <t>Services Sales</t>
  </si>
  <si>
    <t>Total Net Sales</t>
  </si>
  <si>
    <t>Research &amp; Develepoment</t>
  </si>
  <si>
    <t>SG&amp;A</t>
  </si>
  <si>
    <t>Gross Profit</t>
  </si>
  <si>
    <t>Margins as a Percentage of Net Sales:</t>
  </si>
  <si>
    <t>COGS Margin</t>
  </si>
  <si>
    <t>Gross Profit Margin</t>
  </si>
  <si>
    <t>Research &amp; Development Margin</t>
  </si>
  <si>
    <t>SG&amp;A Margin</t>
  </si>
  <si>
    <t>Operating Income Margin</t>
  </si>
  <si>
    <t>Net Profit Margin</t>
  </si>
  <si>
    <t>Additional Items:</t>
  </si>
  <si>
    <t>Income Tax Rate</t>
  </si>
  <si>
    <t>CapEx as a Percentage of Sales</t>
  </si>
  <si>
    <t>CapEx as a Percentage of Fixed Assets</t>
  </si>
  <si>
    <t>Assumptions:</t>
  </si>
  <si>
    <r>
      <t xml:space="preserve">Current Market Share Price is </t>
    </r>
    <r>
      <rPr>
        <b/>
        <sz val="11"/>
        <color theme="1"/>
        <rFont val="Calibri"/>
        <family val="2"/>
        <scheme val="minor"/>
      </rPr>
      <t>227.79</t>
    </r>
  </si>
  <si>
    <t>(in days)</t>
  </si>
  <si>
    <t>(in millions)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</si>
</sst>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00_);_(* \(#,##0.000\);_(* &quot;-&quot;??_);_(@_)"/>
    <numFmt numFmtId="178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2" fillId="0" borderId="0" xfId="0" applyFont="1" applyBorder="1"/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2" fontId="0" fillId="0" borderId="0" xfId="0" applyNumberFormat="1"/>
    <xf numFmtId="164" fontId="0" fillId="0" borderId="0" xfId="0" applyNumberFormat="1"/>
    <xf numFmtId="43" fontId="0" fillId="0" borderId="0" xfId="0" applyNumberFormat="1"/>
    <xf numFmtId="10" fontId="0" fillId="0" borderId="0" xfId="3" applyNumberFormat="1" applyFont="1"/>
    <xf numFmtId="166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9" fontId="0" fillId="0" borderId="0" xfId="3" applyFont="1"/>
    <xf numFmtId="178" fontId="0" fillId="0" borderId="0" xfId="4" applyNumberFormat="1" applyFont="1"/>
    <xf numFmtId="0" fontId="0" fillId="0" borderId="0" xfId="0" applyAlignment="1">
      <alignment horizontal="center"/>
    </xf>
    <xf numFmtId="0" fontId="8" fillId="0" borderId="0" xfId="0" applyFont="1"/>
  </cellXfs>
  <cellStyles count="5">
    <cellStyle name="Comma" xfId="1" builtinId="3"/>
    <cellStyle name="Currency" xfId="4" builtinId="4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/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/>
    <hyperlink ref="A27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workbookViewId="0"/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  <col min="9" max="9" width="14.6640625" customWidth="1"/>
    <col min="10" max="10" width="11.10937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31" t="s">
        <v>1</v>
      </c>
      <c r="B2" s="31"/>
      <c r="C2" s="31"/>
      <c r="D2" s="31"/>
    </row>
    <row r="3" spans="1:10" x14ac:dyDescent="0.3">
      <c r="B3" s="30" t="s">
        <v>23</v>
      </c>
      <c r="C3" s="30"/>
      <c r="D3" s="30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  <c r="G6" s="27"/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  <c r="I16" s="25"/>
    </row>
    <row r="17" spans="1:4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21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">
      <c r="A31" s="31" t="s">
        <v>24</v>
      </c>
      <c r="B31" s="31"/>
      <c r="C31" s="31"/>
      <c r="D31" s="31"/>
    </row>
    <row r="32" spans="1:4" x14ac:dyDescent="0.3">
      <c r="B32" s="30" t="s">
        <v>142</v>
      </c>
      <c r="C32" s="30"/>
      <c r="D32" s="30"/>
    </row>
    <row r="33" spans="1:10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10" x14ac:dyDescent="0.3">
      <c r="A35" t="s">
        <v>25</v>
      </c>
    </row>
    <row r="36" spans="1:10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10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10" x14ac:dyDescent="0.3">
      <c r="A38" s="1" t="s">
        <v>28</v>
      </c>
      <c r="B38" s="12">
        <v>28184</v>
      </c>
      <c r="C38" s="12">
        <v>26278</v>
      </c>
      <c r="D38" s="12">
        <v>16120</v>
      </c>
      <c r="J38" s="25"/>
    </row>
    <row r="39" spans="1:10" x14ac:dyDescent="0.3">
      <c r="A39" s="1" t="s">
        <v>29</v>
      </c>
      <c r="B39" s="12">
        <v>4946</v>
      </c>
      <c r="C39" s="12">
        <v>6580</v>
      </c>
      <c r="D39" s="12">
        <v>4061</v>
      </c>
      <c r="J39" s="25"/>
    </row>
    <row r="40" spans="1:10" x14ac:dyDescent="0.3">
      <c r="A40" s="1" t="s">
        <v>47</v>
      </c>
      <c r="B40" s="12">
        <v>32748</v>
      </c>
      <c r="C40" s="12">
        <v>25228</v>
      </c>
      <c r="D40" s="12">
        <v>21325</v>
      </c>
      <c r="J40" s="25"/>
    </row>
    <row r="41" spans="1:10" x14ac:dyDescent="0.3">
      <c r="A41" s="1" t="s">
        <v>30</v>
      </c>
      <c r="B41" s="12">
        <v>21223</v>
      </c>
      <c r="C41" s="12">
        <v>14111</v>
      </c>
      <c r="D41" s="12">
        <v>11264</v>
      </c>
      <c r="J41" s="25"/>
    </row>
    <row r="42" spans="1:10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  <c r="J42" s="26"/>
    </row>
    <row r="43" spans="1:10" x14ac:dyDescent="0.3">
      <c r="A43" t="s">
        <v>48</v>
      </c>
      <c r="B43" s="12"/>
      <c r="C43" s="12"/>
      <c r="D43" s="12"/>
    </row>
    <row r="44" spans="1:10" x14ac:dyDescent="0.3">
      <c r="A44" s="1" t="s">
        <v>27</v>
      </c>
      <c r="B44" s="12">
        <v>120805</v>
      </c>
      <c r="C44" s="12">
        <v>127877</v>
      </c>
      <c r="D44" s="12">
        <v>100887</v>
      </c>
      <c r="H44" s="25"/>
      <c r="J44" s="25"/>
    </row>
    <row r="45" spans="1:10" x14ac:dyDescent="0.3">
      <c r="A45" s="1" t="s">
        <v>32</v>
      </c>
      <c r="B45" s="12">
        <v>42117</v>
      </c>
      <c r="C45" s="12">
        <v>39440</v>
      </c>
      <c r="D45" s="12">
        <v>36766</v>
      </c>
      <c r="H45" s="25"/>
    </row>
    <row r="46" spans="1:10" x14ac:dyDescent="0.3">
      <c r="A46" s="1" t="s">
        <v>49</v>
      </c>
      <c r="B46" s="12">
        <v>54428</v>
      </c>
      <c r="C46" s="12">
        <v>48849</v>
      </c>
      <c r="D46" s="12">
        <v>42522</v>
      </c>
      <c r="J46" s="25"/>
    </row>
    <row r="47" spans="1:10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10" ht="15" thickBot="1" x14ac:dyDescent="0.3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10" ht="15" thickTop="1" x14ac:dyDescent="0.3">
      <c r="J49" s="26"/>
    </row>
    <row r="50" spans="1:10" x14ac:dyDescent="0.3">
      <c r="A50" t="s">
        <v>34</v>
      </c>
    </row>
    <row r="51" spans="1:10" x14ac:dyDescent="0.3">
      <c r="A51" s="1" t="s">
        <v>35</v>
      </c>
      <c r="B51" s="12">
        <v>64115</v>
      </c>
      <c r="C51" s="12">
        <v>54763</v>
      </c>
      <c r="D51" s="12">
        <v>42296</v>
      </c>
      <c r="G51" s="25"/>
    </row>
    <row r="52" spans="1:10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10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10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10" x14ac:dyDescent="0.3">
      <c r="A55" s="1" t="s">
        <v>39</v>
      </c>
      <c r="B55" s="12">
        <v>11128</v>
      </c>
      <c r="C55" s="12">
        <v>9613</v>
      </c>
      <c r="D55" s="12">
        <v>8773</v>
      </c>
      <c r="H55" s="28"/>
    </row>
    <row r="56" spans="1:10" x14ac:dyDescent="0.3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10" x14ac:dyDescent="0.3">
      <c r="A57" t="s">
        <v>51</v>
      </c>
      <c r="B57" s="12"/>
      <c r="C57" s="12"/>
      <c r="D57" s="12"/>
    </row>
    <row r="58" spans="1:10" x14ac:dyDescent="0.3">
      <c r="A58" s="1" t="s">
        <v>37</v>
      </c>
      <c r="B58" s="12"/>
      <c r="C58" s="12"/>
      <c r="D58" s="12"/>
    </row>
    <row r="59" spans="1:10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10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10" x14ac:dyDescent="0.3">
      <c r="A61" s="23" t="s">
        <v>53</v>
      </c>
      <c r="B61" s="22">
        <f>+B59+B60</f>
        <v>148101</v>
      </c>
      <c r="C61" s="22">
        <f t="shared" ref="C61:D61" si="13">+C59+C60</f>
        <v>162431</v>
      </c>
      <c r="D61" s="22">
        <f t="shared" si="13"/>
        <v>153157</v>
      </c>
    </row>
    <row r="62" spans="1:10" x14ac:dyDescent="0.3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10" x14ac:dyDescent="0.3">
      <c r="B63" s="12"/>
      <c r="C63" s="12"/>
      <c r="D63" s="12"/>
    </row>
    <row r="64" spans="1:10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"/>
    <row r="71" spans="1:4" x14ac:dyDescent="0.3">
      <c r="A71" s="31" t="s">
        <v>55</v>
      </c>
      <c r="B71" s="31"/>
      <c r="C71" s="31"/>
      <c r="D71" s="31"/>
    </row>
    <row r="72" spans="1:4" x14ac:dyDescent="0.3">
      <c r="B72" s="30" t="s">
        <v>23</v>
      </c>
      <c r="C72" s="30"/>
      <c r="D72" s="30"/>
    </row>
    <row r="73" spans="1:4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6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6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6" x14ac:dyDescent="0.3">
      <c r="A83" t="s">
        <v>62</v>
      </c>
      <c r="B83" s="12"/>
      <c r="C83" s="12"/>
      <c r="D83" s="12"/>
    </row>
    <row r="84" spans="1:6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6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6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6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6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6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6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6" x14ac:dyDescent="0.3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6" x14ac:dyDescent="0.3">
      <c r="A92" s="7" t="s">
        <v>64</v>
      </c>
      <c r="B92" s="12"/>
      <c r="C92" s="12"/>
      <c r="D92" s="12"/>
    </row>
    <row r="93" spans="1:6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6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6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6" x14ac:dyDescent="0.3">
      <c r="A96" s="1" t="s">
        <v>68</v>
      </c>
      <c r="B96" s="12">
        <v>-10708</v>
      </c>
      <c r="C96" s="12">
        <v>-11085</v>
      </c>
      <c r="D96" s="12">
        <v>-7309</v>
      </c>
      <c r="F96" s="25"/>
    </row>
    <row r="97" spans="1:7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7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7" x14ac:dyDescent="0.3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7" x14ac:dyDescent="0.3">
      <c r="A100" s="7" t="s">
        <v>71</v>
      </c>
      <c r="B100" s="12"/>
      <c r="C100" s="12"/>
      <c r="D100" s="12"/>
    </row>
    <row r="101" spans="1:7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7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7" x14ac:dyDescent="0.3">
      <c r="A103" s="1" t="s">
        <v>73</v>
      </c>
      <c r="B103" s="12">
        <v>-89402</v>
      </c>
      <c r="C103" s="12">
        <v>-85971</v>
      </c>
      <c r="D103" s="12">
        <v>-72358</v>
      </c>
      <c r="G103" s="27"/>
    </row>
    <row r="104" spans="1:7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7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7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7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7" x14ac:dyDescent="0.3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7" x14ac:dyDescent="0.3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7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7" ht="15" thickTop="1" x14ac:dyDescent="0.3">
      <c r="B111" s="12"/>
      <c r="C111" s="12"/>
      <c r="D111" s="12"/>
    </row>
    <row r="112" spans="1:7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abSelected="1" workbookViewId="0"/>
  </sheetViews>
  <sheetFormatPr defaultRowHeight="14.4" x14ac:dyDescent="0.3"/>
  <cols>
    <col min="1" max="1" width="4.6640625" customWidth="1"/>
    <col min="2" max="2" width="44.88671875" customWidth="1"/>
    <col min="3" max="3" width="17.6640625" customWidth="1"/>
    <col min="4" max="4" width="17.88671875" customWidth="1"/>
    <col min="5" max="5" width="17.77734375" customWidth="1"/>
    <col min="6" max="6" width="10.33203125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3">
      <c r="C2" s="30" t="s">
        <v>23</v>
      </c>
      <c r="D2" s="30"/>
      <c r="E2" s="30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99</v>
      </c>
    </row>
    <row r="5" spans="1:10" x14ac:dyDescent="0.3">
      <c r="A5" s="18">
        <f>+A4+0.1</f>
        <v>1.1000000000000001</v>
      </c>
      <c r="B5" s="1" t="s">
        <v>100</v>
      </c>
      <c r="C5" s="24">
        <f>'Financial Statements'!B42/'Financial Statements'!B56</f>
        <v>0.87935602862672257</v>
      </c>
      <c r="D5" s="24">
        <f>'Financial Statements'!C42/'Financial Statements'!C56</f>
        <v>1.0745531195957954</v>
      </c>
      <c r="E5" s="24">
        <f>'Financial Statements'!D42/'Financial Statements'!D56</f>
        <v>1.3636044481554577</v>
      </c>
    </row>
    <row r="6" spans="1:10" x14ac:dyDescent="0.3">
      <c r="A6" s="18">
        <f t="shared" ref="A6:A13" si="0">+A5+0.1</f>
        <v>1.2000000000000002</v>
      </c>
      <c r="B6" s="1" t="s">
        <v>101</v>
      </c>
      <c r="C6" s="24">
        <f>('Financial Statements'!B42-'Financial Statements'!B39)/'Financial Statements'!B56</f>
        <v>0.84723539114961488</v>
      </c>
      <c r="D6" s="24">
        <f>('Financial Statements'!C42-'Financial Statements'!C39)/'Financial Statements'!C56</f>
        <v>1.0221149018576519</v>
      </c>
      <c r="E6" s="24">
        <f>('Financial Statements'!D42-'Financial Statements'!D39)/'Financial Statements'!D56</f>
        <v>1.325072111735236</v>
      </c>
    </row>
    <row r="7" spans="1:10" x14ac:dyDescent="0.3">
      <c r="A7" s="18">
        <f t="shared" si="0"/>
        <v>1.3000000000000003</v>
      </c>
      <c r="B7" s="1" t="s">
        <v>102</v>
      </c>
      <c r="C7" s="24">
        <f>'Financial Statements'!B36/'Financial Statements'!B56</f>
        <v>0.15356340351469652</v>
      </c>
      <c r="D7" s="24">
        <f>'Financial Statements'!C36/'Financial Statements'!C56</f>
        <v>0.27844853005634318</v>
      </c>
      <c r="E7" s="24">
        <f>'Financial Statements'!D36/'Financial Statements'!D56</f>
        <v>0.36071049035979963</v>
      </c>
    </row>
    <row r="8" spans="1:10" x14ac:dyDescent="0.3">
      <c r="A8" s="18">
        <f t="shared" si="0"/>
        <v>1.4000000000000004</v>
      </c>
      <c r="B8" s="1" t="s">
        <v>103</v>
      </c>
      <c r="C8" s="24">
        <f>'Financial Statements'!B42/(('Financial Statements'!B12+'Financial Statements'!B17-(SUM('Financial Statements'!B79:B82)))/365)</f>
        <v>194.77512680152753</v>
      </c>
      <c r="D8" s="24">
        <f>'Financial Statements'!C42/(('Financial Statements'!C12+'Financial Statements'!C17-(SUM('Financial Statements'!C79:C82)))/365)</f>
        <v>202.86621131991475</v>
      </c>
      <c r="E8" s="24">
        <f>'Financial Statements'!D42/(('Financial Statements'!D12+'Financial Statements'!D17-(SUM('Financial Statements'!D79:D82)))/365)</f>
        <v>275.13319940835231</v>
      </c>
      <c r="F8" s="35" t="s">
        <v>170</v>
      </c>
    </row>
    <row r="9" spans="1:10" x14ac:dyDescent="0.3">
      <c r="A9" s="18">
        <f t="shared" si="0"/>
        <v>1.5000000000000004</v>
      </c>
      <c r="B9" s="1" t="s">
        <v>104</v>
      </c>
      <c r="C9" s="18">
        <f>365/('Financial Statements'!B12/'Financial Statements'!B39)</f>
        <v>8.0756980666171607</v>
      </c>
      <c r="D9" s="18">
        <f>365/('Financial Statements'!C12/'Financial Statements'!C39)</f>
        <v>11.27659274770989</v>
      </c>
      <c r="E9" s="18">
        <f>365/('Financial Statements'!D12/'Financial Statements'!D39)</f>
        <v>8.7418833562358813</v>
      </c>
      <c r="F9" s="35"/>
    </row>
    <row r="10" spans="1:10" x14ac:dyDescent="0.3">
      <c r="A10" s="18">
        <f t="shared" si="0"/>
        <v>1.6000000000000005</v>
      </c>
      <c r="B10" s="1" t="s">
        <v>105</v>
      </c>
      <c r="C10" s="18">
        <f>('Financial Statements'!B51/'Financial Statements'!B12)*365</f>
        <v>104.68527730310539</v>
      </c>
      <c r="D10" s="18">
        <f>('Financial Statements'!C51/'Financial Statements'!C12)*365</f>
        <v>93.851071222315596</v>
      </c>
      <c r="E10" s="18">
        <f>('Financial Statements'!D51/'Financial Statements'!D12)*365</f>
        <v>91.048189715674198</v>
      </c>
      <c r="F10" s="35" t="s">
        <v>170</v>
      </c>
    </row>
    <row r="11" spans="1:10" x14ac:dyDescent="0.3">
      <c r="A11" s="18">
        <f t="shared" si="0"/>
        <v>1.7000000000000006</v>
      </c>
      <c r="B11" s="1" t="s">
        <v>106</v>
      </c>
      <c r="C11" s="18">
        <f>('Financial Statements'!B38/'Financial Statements'!B8)*365</f>
        <v>26.087825363656648</v>
      </c>
      <c r="D11" s="18">
        <f>('Financial Statements'!C38/'Financial Statements'!C8)*365</f>
        <v>26.219311841713207</v>
      </c>
      <c r="E11" s="18">
        <f>('Financial Statements'!D38/'Financial Statements'!D8)*365</f>
        <v>21.433437152796749</v>
      </c>
    </row>
    <row r="12" spans="1:10" x14ac:dyDescent="0.3">
      <c r="A12" s="18">
        <f t="shared" si="0"/>
        <v>1.8000000000000007</v>
      </c>
      <c r="B12" s="1" t="s">
        <v>107</v>
      </c>
      <c r="C12" s="18">
        <f>C9+(('Financial Statements'!B38/'Financial Statements'!B8)*365)-'List of Ratios'!C10</f>
        <v>-70.521753872831582</v>
      </c>
      <c r="D12" s="18">
        <f>D9+(('Financial Statements'!C38/'Financial Statements'!C8)*365)-'List of Ratios'!D10</f>
        <v>-56.355166632892498</v>
      </c>
      <c r="E12" s="18">
        <f>E9+(('Financial Statements'!D38/'Financial Statements'!D8)*365)-'List of Ratios'!E10</f>
        <v>-60.872869206641568</v>
      </c>
      <c r="I12" s="18"/>
    </row>
    <row r="13" spans="1:10" x14ac:dyDescent="0.3">
      <c r="A13" s="18">
        <f t="shared" si="0"/>
        <v>1.9000000000000008</v>
      </c>
      <c r="B13" s="1" t="s">
        <v>108</v>
      </c>
      <c r="C13" s="27">
        <f>C14/'Financial Statements'!B8</f>
        <v>-4.711052727678481E-2</v>
      </c>
      <c r="D13" s="27">
        <f>D14/'Financial Statements'!C8</f>
        <v>2.557289573748623E-2</v>
      </c>
      <c r="E13" s="27">
        <f>E14/'Financial Statements'!D8</f>
        <v>0.13959528623208203</v>
      </c>
    </row>
    <row r="14" spans="1:10" x14ac:dyDescent="0.3">
      <c r="A14" s="18"/>
      <c r="B14" s="3" t="s">
        <v>109</v>
      </c>
      <c r="C14" s="12">
        <f>'Financial Statements'!B42-'Financial Statements'!B56</f>
        <v>-18577</v>
      </c>
      <c r="D14" s="12">
        <f>'Financial Statements'!C42-'Financial Statements'!C56</f>
        <v>9355</v>
      </c>
      <c r="E14" s="12">
        <f>'Financial Statements'!D42-'Financial Statements'!D56</f>
        <v>38321</v>
      </c>
    </row>
    <row r="15" spans="1:10" x14ac:dyDescent="0.3">
      <c r="A15" s="18"/>
    </row>
    <row r="16" spans="1:10" x14ac:dyDescent="0.3">
      <c r="A16" s="18">
        <f>+A4+1</f>
        <v>2</v>
      </c>
      <c r="B16" s="17" t="s">
        <v>110</v>
      </c>
    </row>
    <row r="17" spans="1:8" x14ac:dyDescent="0.3">
      <c r="A17" s="18">
        <f>+A16+0.1</f>
        <v>2.1</v>
      </c>
      <c r="B17" s="1" t="s">
        <v>9</v>
      </c>
      <c r="C17" s="27">
        <f>'Financial Statements'!B13/'Financial Statements'!B8</f>
        <v>0.43309630561360085</v>
      </c>
      <c r="D17" s="27">
        <f>'Financial Statements'!C13/'Financial Statements'!C8</f>
        <v>0.41779359625167778</v>
      </c>
      <c r="E17" s="27">
        <f>'Financial Statements'!D13/'Financial Statements'!D8</f>
        <v>0.38233247727810865</v>
      </c>
    </row>
    <row r="18" spans="1:8" x14ac:dyDescent="0.3">
      <c r="A18" s="18">
        <f>+A17+0.1</f>
        <v>2.2000000000000002</v>
      </c>
      <c r="B18" s="1" t="s">
        <v>111</v>
      </c>
      <c r="C18" s="27">
        <f>C19/'Financial Statements'!B8</f>
        <v>0.3310467428130896</v>
      </c>
      <c r="D18" s="27">
        <f>D19/'Financial Statements'!C8</f>
        <v>0.32866979938056462</v>
      </c>
      <c r="E18" s="27">
        <f>E19/'Financial Statements'!D8</f>
        <v>0.2817478097736007</v>
      </c>
    </row>
    <row r="19" spans="1:8" x14ac:dyDescent="0.3">
      <c r="A19" s="18"/>
      <c r="B19" s="3" t="s">
        <v>112</v>
      </c>
      <c r="C19" s="12">
        <f>'Financial Statements'!B18+'Financial Statements'!B79</f>
        <v>130541</v>
      </c>
      <c r="D19" s="12">
        <f>'Financial Statements'!C18+'Financial Statements'!C79</f>
        <v>120233</v>
      </c>
      <c r="E19" s="12">
        <f>'Financial Statements'!D18+'Financial Statements'!D79</f>
        <v>77344</v>
      </c>
      <c r="F19" s="35" t="s">
        <v>171</v>
      </c>
    </row>
    <row r="20" spans="1:8" x14ac:dyDescent="0.3">
      <c r="A20" s="18">
        <f>+A18+0.1</f>
        <v>2.3000000000000003</v>
      </c>
      <c r="B20" s="1" t="s">
        <v>113</v>
      </c>
      <c r="C20" s="27">
        <f>C21/'Financial Statements'!B8</f>
        <v>0.30288744395528594</v>
      </c>
      <c r="D20" s="27">
        <f>D21/'Financial Statements'!C8</f>
        <v>0.29782377527561593</v>
      </c>
      <c r="E20" s="27">
        <f>E21/'Financial Statements'!D8</f>
        <v>0.24147314354406862</v>
      </c>
      <c r="F20" s="35"/>
    </row>
    <row r="21" spans="1:8" x14ac:dyDescent="0.3">
      <c r="A21" s="18"/>
      <c r="B21" s="3" t="s">
        <v>114</v>
      </c>
      <c r="C21" s="12">
        <f>'Financial Statements'!B18</f>
        <v>119437</v>
      </c>
      <c r="D21" s="12">
        <f>'Financial Statements'!C18</f>
        <v>108949</v>
      </c>
      <c r="E21" s="12">
        <f>'Financial Statements'!D18</f>
        <v>66288</v>
      </c>
      <c r="F21" s="35" t="s">
        <v>171</v>
      </c>
    </row>
    <row r="22" spans="1:8" x14ac:dyDescent="0.3">
      <c r="A22" s="18">
        <f>+A20+0.1</f>
        <v>2.4000000000000004</v>
      </c>
      <c r="B22" s="1" t="s">
        <v>115</v>
      </c>
      <c r="C22" s="27">
        <f>'Financial Statements'!B22/'Financial Statements'!B8</f>
        <v>0.25309640705199732</v>
      </c>
      <c r="D22" s="27">
        <f>'Financial Statements'!C22/'Financial Statements'!C8</f>
        <v>0.25881793355694238</v>
      </c>
      <c r="E22" s="27">
        <f>'Financial Statements'!D22/'Financial Statements'!D8</f>
        <v>0.20913611278072236</v>
      </c>
      <c r="F22" s="35"/>
    </row>
    <row r="23" spans="1:8" x14ac:dyDescent="0.3">
      <c r="A23" s="18"/>
      <c r="F23" s="35"/>
    </row>
    <row r="24" spans="1:8" x14ac:dyDescent="0.3">
      <c r="A24" s="18">
        <f>+A16+1</f>
        <v>3</v>
      </c>
      <c r="B24" s="7" t="s">
        <v>116</v>
      </c>
      <c r="F24" s="35"/>
    </row>
    <row r="25" spans="1:8" x14ac:dyDescent="0.3">
      <c r="A25" s="18">
        <f>+A24+0.1</f>
        <v>3.1</v>
      </c>
      <c r="B25" s="1" t="s">
        <v>117</v>
      </c>
      <c r="C25" s="24">
        <f>('Financial Statements'!B54+'Financial Statements'!B55+'Financial Statements'!B59)/'Financial Statements'!B68</f>
        <v>2.3695334701610355</v>
      </c>
      <c r="D25" s="24">
        <f>('Financial Statements'!C54+'Financial Statements'!C55+'Financial Statements'!C59)/'Financial Statements'!C68</f>
        <v>1.9768426058012363</v>
      </c>
      <c r="E25" s="24">
        <f>('Financial Statements'!D54+'Financial Statements'!D55+'Financial Statements'!D59)/'Financial Statements'!D68</f>
        <v>1.7208099297509909</v>
      </c>
      <c r="F25" s="35"/>
    </row>
    <row r="26" spans="1:8" x14ac:dyDescent="0.3">
      <c r="A26" s="18">
        <f t="shared" ref="A26:A30" si="1">+A25+0.1</f>
        <v>3.2</v>
      </c>
      <c r="B26" s="1" t="s">
        <v>118</v>
      </c>
      <c r="C26" s="27">
        <f>('Financial Statements'!B54+'Financial Statements'!B55+'Financial Statements'!B59)/'Financial Statements'!B48</f>
        <v>0.34037504783773442</v>
      </c>
      <c r="D26" s="27">
        <f>('Financial Statements'!C54+'Financial Statements'!C55+'Financial Statements'!C59)/'Financial Statements'!C48</f>
        <v>0.35532276169366556</v>
      </c>
      <c r="E26" s="27">
        <f>('Financial Statements'!D54+'Financial Statements'!D55+'Financial Statements'!D59)/'Financial Statements'!D48</f>
        <v>0.34714469199229364</v>
      </c>
      <c r="F26" s="35"/>
    </row>
    <row r="27" spans="1:8" x14ac:dyDescent="0.3">
      <c r="A27" s="18">
        <f t="shared" si="1"/>
        <v>3.3000000000000003</v>
      </c>
      <c r="B27" s="1" t="s">
        <v>119</v>
      </c>
      <c r="C27" s="27">
        <f>'Financial Statements'!B59/('Financial Statements'!B59+'Financial Statements'!B68)</f>
        <v>0.66135359651409131</v>
      </c>
      <c r="D27" s="27">
        <f>'Financial Statements'!C59/('Financial Statements'!C59+'Financial Statements'!C68)</f>
        <v>0.63361518269878514</v>
      </c>
      <c r="E27" s="27">
        <f>'Financial Statements'!D59/('Financial Statements'!D59+'Financial Statements'!D68)</f>
        <v>0.60160603880345842</v>
      </c>
      <c r="F27" s="35"/>
    </row>
    <row r="28" spans="1:8" x14ac:dyDescent="0.3">
      <c r="A28" s="18">
        <f t="shared" si="1"/>
        <v>3.4000000000000004</v>
      </c>
      <c r="B28" s="1" t="s">
        <v>120</v>
      </c>
      <c r="C28" s="24">
        <f>'Financial Statements'!B18/'Financial Statements'!B114</f>
        <v>41.68830715532286</v>
      </c>
      <c r="D28" s="24">
        <f>'Financial Statements'!C18/'Financial Statements'!C114</f>
        <v>40.546706363974693</v>
      </c>
      <c r="E28" s="24">
        <f>'Financial Statements'!D18/'Financial Statements'!D114</f>
        <v>22.081279147235175</v>
      </c>
      <c r="F28" s="35"/>
      <c r="H28" s="28"/>
    </row>
    <row r="29" spans="1:8" x14ac:dyDescent="0.3">
      <c r="A29" s="18">
        <f t="shared" si="1"/>
        <v>3.5000000000000004</v>
      </c>
      <c r="B29" s="1" t="s">
        <v>121</v>
      </c>
      <c r="C29" s="24">
        <f>C19/('Financial Statements'!B114-'Financial Statements'!B105)</f>
        <v>10.520712443584785</v>
      </c>
      <c r="D29" s="24">
        <f>D19/('Financial Statements'!C114-'Financial Statements'!C105)</f>
        <v>10.512634432106321</v>
      </c>
      <c r="E29" s="24">
        <f>E19/('Financial Statements'!D114-'Financial Statements'!D105)</f>
        <v>4.948115923485382</v>
      </c>
      <c r="F29" s="35"/>
    </row>
    <row r="30" spans="1:8" x14ac:dyDescent="0.3">
      <c r="A30" s="18">
        <f t="shared" si="1"/>
        <v>3.6000000000000005</v>
      </c>
      <c r="B30" s="1" t="s">
        <v>122</v>
      </c>
      <c r="C30" s="24">
        <f>(C31*1000000)/('Financial Statements'!B28*1000)</f>
        <v>6.6568176457181103</v>
      </c>
      <c r="D30" s="24">
        <f>(D31*1000000)/('Financial Statements'!C28*1000)</f>
        <v>6.7808804773980826</v>
      </c>
      <c r="F30" s="35"/>
    </row>
    <row r="31" spans="1:8" x14ac:dyDescent="0.3">
      <c r="A31" s="18"/>
      <c r="B31" s="3" t="s">
        <v>123</v>
      </c>
      <c r="C31" s="12">
        <f>'Financial Statements'!B22+'Financial Statements'!B79-(('Financial Statements'!B38-'Financial Statements'!C38)+('Financial Statements'!B39-'Financial Statements'!C39)-('Financial Statements'!B51-'Financial Statements'!C51))-('Financial Statements'!B45-'Financial Statements'!C45)+(('Financial Statements'!B55+'Financial Statements'!B59)-('Financial Statements'!C55+'Financial Statements'!C59))</f>
        <v>108678</v>
      </c>
      <c r="D31" s="12">
        <f>'Financial Statements'!C22+'Financial Statements'!C79-(('Financial Statements'!C38-'Financial Statements'!D38)+('Financial Statements'!C39-'Financial Statements'!D39)-('Financial Statements'!C51-'Financial Statements'!D51))-('Financial Statements'!C45-'Financial Statements'!D45)+(('Financial Statements'!C55+'Financial Statements'!C59)-('Financial Statements'!D55+'Financial Statements'!D59))</f>
        <v>114359</v>
      </c>
      <c r="E31" s="12"/>
      <c r="F31" s="35" t="s">
        <v>171</v>
      </c>
    </row>
    <row r="32" spans="1:8" x14ac:dyDescent="0.3">
      <c r="A32" s="18"/>
    </row>
    <row r="33" spans="1:5" x14ac:dyDescent="0.3">
      <c r="A33" s="18">
        <f>+A24+1</f>
        <v>4</v>
      </c>
      <c r="B33" s="17" t="s">
        <v>124</v>
      </c>
    </row>
    <row r="34" spans="1:5" x14ac:dyDescent="0.3">
      <c r="A34" s="18">
        <f>+A33+0.1</f>
        <v>4.0999999999999996</v>
      </c>
      <c r="B34" s="1" t="s">
        <v>125</v>
      </c>
      <c r="C34" s="24">
        <f>'Financial Statements'!B8/'Financial Statements'!B48</f>
        <v>1.1178523337727317</v>
      </c>
      <c r="D34" s="24">
        <f>'Financial Statements'!C8/'Financial Statements'!C48</f>
        <v>1.0422077367080529</v>
      </c>
      <c r="E34" s="24">
        <f>'Financial Statements'!D8/'Financial Statements'!D48</f>
        <v>0.84756150274168851</v>
      </c>
    </row>
    <row r="35" spans="1:5" x14ac:dyDescent="0.3">
      <c r="A35" s="18">
        <f t="shared" ref="A35:A37" si="2">+A34+0.1</f>
        <v>4.1999999999999993</v>
      </c>
      <c r="B35" s="1" t="s">
        <v>126</v>
      </c>
      <c r="C35" s="24">
        <f>'Financial Statements'!B8/'Financial Statements'!B45</f>
        <v>9.3626801529073767</v>
      </c>
      <c r="D35" s="24">
        <f>'Financial Statements'!C8/'Financial Statements'!C45</f>
        <v>9.2752789046653152</v>
      </c>
      <c r="E35" s="24">
        <f>'Financial Statements'!D8/'Financial Statements'!D45</f>
        <v>7.4665451776097482</v>
      </c>
    </row>
    <row r="36" spans="1:5" x14ac:dyDescent="0.3">
      <c r="A36" s="18">
        <f t="shared" si="2"/>
        <v>4.2999999999999989</v>
      </c>
      <c r="B36" s="1" t="s">
        <v>127</v>
      </c>
      <c r="C36" s="24">
        <f>'Financial Statements'!B12/'Financial Statements'!B39</f>
        <v>45.197331176708452</v>
      </c>
      <c r="D36" s="24">
        <f>'Financial Statements'!C12/'Financial Statements'!C39</f>
        <v>32.367933130699086</v>
      </c>
      <c r="E36" s="24">
        <f>'Financial Statements'!D12/'Financial Statements'!D39</f>
        <v>41.753016498399411</v>
      </c>
    </row>
    <row r="37" spans="1:5" x14ac:dyDescent="0.3">
      <c r="A37" s="18">
        <f t="shared" si="2"/>
        <v>4.3999999999999986</v>
      </c>
      <c r="B37" s="1" t="s">
        <v>128</v>
      </c>
      <c r="C37" s="27">
        <f>'Financial Statements'!B22/'Financial Statements'!B48</f>
        <v>0.28292440929256851</v>
      </c>
      <c r="D37" s="27">
        <f>'Financial Statements'!C22/'Financial Statements'!C48</f>
        <v>0.26974205275183616</v>
      </c>
      <c r="E37" s="27">
        <f>'Financial Statements'!D22/'Financial Statements'!D48</f>
        <v>0.1772557180259843</v>
      </c>
    </row>
    <row r="38" spans="1:5" x14ac:dyDescent="0.3">
      <c r="A38" s="18"/>
    </row>
    <row r="39" spans="1:5" x14ac:dyDescent="0.3">
      <c r="A39" s="18">
        <f>+A33+1</f>
        <v>5</v>
      </c>
      <c r="B39" s="17" t="s">
        <v>129</v>
      </c>
    </row>
    <row r="40" spans="1:5" x14ac:dyDescent="0.3">
      <c r="A40" s="18">
        <f>+A39+0.1</f>
        <v>5.0999999999999996</v>
      </c>
      <c r="B40" s="1" t="s">
        <v>130</v>
      </c>
      <c r="C40" s="24">
        <f>227.79/C41</f>
        <v>37.261989218861153</v>
      </c>
      <c r="D40" s="24">
        <f t="shared" ref="D40:E40" si="3">227.79/D41</f>
        <v>40.575199609315582</v>
      </c>
      <c r="E40" s="24">
        <f t="shared" si="3"/>
        <v>69.546809271045618</v>
      </c>
    </row>
    <row r="41" spans="1:5" x14ac:dyDescent="0.3">
      <c r="A41" s="18">
        <f t="shared" ref="A41:A44" si="4">+A40+0.1</f>
        <v>5.1999999999999993</v>
      </c>
      <c r="B41" s="3" t="s">
        <v>131</v>
      </c>
      <c r="C41" s="24">
        <f>('Financial Statements'!B22*1000000)/('Financial Statements'!B28*1000)</f>
        <v>6.1132002014722815</v>
      </c>
      <c r="D41" s="24">
        <f>('Financial Statements'!C22*1000000)/('Financial Statements'!C28*1000)</f>
        <v>5.6140204408927197</v>
      </c>
      <c r="E41" s="24">
        <f>('Financial Statements'!D22*1000000)/('Financial Statements'!D28*1000)</f>
        <v>3.2753479618630856</v>
      </c>
    </row>
    <row r="42" spans="1:5" x14ac:dyDescent="0.3">
      <c r="A42" s="18">
        <f t="shared" si="4"/>
        <v>5.2999999999999989</v>
      </c>
      <c r="B42" s="1" t="s">
        <v>132</v>
      </c>
      <c r="C42" s="24">
        <f>(227.79*'Financial Statements'!B28*1000)/('Financial Statements'!B68*1000000)</f>
        <v>73.390793929783698</v>
      </c>
      <c r="D42" s="24">
        <f>(227.79*'Financial Statements'!C28*1000)/('Financial Statements'!C68*1000000)</f>
        <v>60.891740355206842</v>
      </c>
      <c r="E42" s="24">
        <f>(227.79*'Financial Statements'!D28*1000)/('Financial Statements'!D68*1000000)</f>
        <v>61.108248780360888</v>
      </c>
    </row>
    <row r="43" spans="1:5" x14ac:dyDescent="0.3">
      <c r="A43" s="18">
        <f t="shared" si="4"/>
        <v>5.3999999999999986</v>
      </c>
      <c r="B43" s="3" t="s">
        <v>133</v>
      </c>
      <c r="C43" s="24">
        <f>(('Financial Statements'!B68)*1000000)/('Financial Statements'!B28*1000)</f>
        <v>3.1037952827971447</v>
      </c>
      <c r="D43" s="24">
        <f>(('Financial Statements'!C68)*1000000)/('Financial Statements'!C28*1000)</f>
        <v>3.740901453484597</v>
      </c>
      <c r="E43" s="24">
        <f>(('Financial Statements'!D68)*1000000)/('Financial Statements'!D28*1000)</f>
        <v>3.7276473233382479</v>
      </c>
    </row>
    <row r="44" spans="1:5" x14ac:dyDescent="0.3">
      <c r="A44" s="18">
        <f t="shared" si="4"/>
        <v>5.4999999999999982</v>
      </c>
      <c r="B44" s="1" t="s">
        <v>134</v>
      </c>
      <c r="C44" s="27">
        <f>C45/C41</f>
        <v>0.14870294480125848</v>
      </c>
      <c r="D44" s="27">
        <f t="shared" ref="D44:E44" si="5">D45/D41</f>
        <v>0.15279890156316012</v>
      </c>
      <c r="E44" s="27">
        <f t="shared" si="5"/>
        <v>0.24526658654264863</v>
      </c>
    </row>
    <row r="45" spans="1:5" x14ac:dyDescent="0.3">
      <c r="A45" s="18"/>
      <c r="B45" s="3" t="s">
        <v>135</v>
      </c>
      <c r="C45" s="24">
        <f>-('Financial Statements'!B102*1000000)/('Financial Statements'!B28*1000)</f>
        <v>0.90905087211857483</v>
      </c>
      <c r="D45" s="24">
        <f>-('Financial Statements'!C102*1000000)/('Financial Statements'!C28*1000)</f>
        <v>0.85781615672153544</v>
      </c>
      <c r="E45" s="24">
        <f>-('Financial Statements'!D102*1000000)/('Financial Statements'!D28*1000)</f>
        <v>0.80333341434558025</v>
      </c>
    </row>
    <row r="46" spans="1:5" x14ac:dyDescent="0.3">
      <c r="A46" s="18">
        <f>+A44+0.1</f>
        <v>5.5999999999999979</v>
      </c>
      <c r="B46" s="1" t="s">
        <v>136</v>
      </c>
      <c r="C46" s="27">
        <f>C45/227.79</f>
        <v>3.9907409110082745E-3</v>
      </c>
      <c r="D46" s="27">
        <f t="shared" ref="D46:E46" si="6">D45/227.79</f>
        <v>3.7658200830656984E-3</v>
      </c>
      <c r="E46" s="27">
        <f t="shared" si="6"/>
        <v>3.5266403895938378E-3</v>
      </c>
    </row>
    <row r="47" spans="1:5" x14ac:dyDescent="0.3">
      <c r="A47" s="18">
        <f t="shared" ref="A47:A50" si="7">+A45+0.1</f>
        <v>0.1</v>
      </c>
      <c r="B47" s="1" t="s">
        <v>137</v>
      </c>
      <c r="C47" s="32">
        <f>'Financial Statements'!B22/'Financial Statements'!B68</f>
        <v>1.9695887275023682</v>
      </c>
      <c r="D47" s="32">
        <f>'Financial Statements'!C22/'Financial Statements'!C68</f>
        <v>1.5007132667617689</v>
      </c>
      <c r="E47" s="32">
        <f>'Financial Statements'!D22/'Financial Statements'!D68</f>
        <v>0.87866358530127486</v>
      </c>
    </row>
    <row r="48" spans="1:5" x14ac:dyDescent="0.3">
      <c r="A48" s="18">
        <f t="shared" si="7"/>
        <v>5.6999999999999975</v>
      </c>
      <c r="B48" s="1" t="s">
        <v>138</v>
      </c>
      <c r="C48" s="27">
        <f>C21/('Financial Statements'!B48-'Financial Statements'!B56)</f>
        <v>0.60087134570590572</v>
      </c>
      <c r="D48" s="27">
        <f>D21/('Financial Statements'!C48-'Financial Statements'!C56)</f>
        <v>0.48309913489209433</v>
      </c>
      <c r="E48" s="27">
        <f>E21/('Financial Statements'!D48-'Financial Statements'!D56)</f>
        <v>0.30338312829525482</v>
      </c>
    </row>
    <row r="49" spans="1:5" x14ac:dyDescent="0.3">
      <c r="A49" s="18">
        <f t="shared" si="7"/>
        <v>0.2</v>
      </c>
      <c r="B49" s="1" t="s">
        <v>128</v>
      </c>
      <c r="C49" s="27">
        <f>'Financial Statements'!B22/'Financial Statements'!B48</f>
        <v>0.28292440929256851</v>
      </c>
      <c r="D49" s="27">
        <f>'Financial Statements'!C22/'Financial Statements'!C48</f>
        <v>0.26974205275183616</v>
      </c>
      <c r="E49" s="27">
        <f>'Financial Statements'!D22/'Financial Statements'!D48</f>
        <v>0.1772557180259843</v>
      </c>
    </row>
    <row r="50" spans="1:5" x14ac:dyDescent="0.3">
      <c r="A50" s="18">
        <f t="shared" si="7"/>
        <v>5.7999999999999972</v>
      </c>
      <c r="B50" s="1" t="s">
        <v>139</v>
      </c>
      <c r="C50" s="26">
        <f>C51/(C19*1000000)</f>
        <v>29.226689775702649</v>
      </c>
      <c r="D50" s="26">
        <f t="shared" ref="D50:E50" si="8">D51/(D19*1000000)</f>
        <v>32.698501235185013</v>
      </c>
      <c r="E50" s="26">
        <f t="shared" si="8"/>
        <v>52.585486489708316</v>
      </c>
    </row>
    <row r="51" spans="1:5" x14ac:dyDescent="0.3">
      <c r="A51" s="18"/>
      <c r="B51" s="3" t="s">
        <v>140</v>
      </c>
      <c r="C51" s="33">
        <f>(227.79*'Financial Statements'!B28*1000)+(('Financial Statements'!B54+'Financial Statements'!B55+'Financial Statements'!B59)*1000000)-('Financial Statements'!B36*1000000)</f>
        <v>3815281310009.9995</v>
      </c>
      <c r="D51" s="33">
        <f>(227.79*'Financial Statements'!C28*1000)+(('Financial Statements'!C54+'Financial Statements'!C55+'Financial Statements'!C59)*1000000)-('Financial Statements'!C36*1000000)</f>
        <v>3931438899009.9995</v>
      </c>
      <c r="E51" s="33">
        <f>(227.79*'Financial Statements'!D28*1000)+(('Financial Statements'!D54+'Financial Statements'!D55+'Financial Statements'!D59)*1000000)-('Financial Statements'!D36*1000000)</f>
        <v>4067171867060</v>
      </c>
    </row>
    <row r="54" spans="1:5" x14ac:dyDescent="0.3">
      <c r="B54" s="7"/>
      <c r="C54" s="30" t="s">
        <v>23</v>
      </c>
      <c r="D54" s="30"/>
      <c r="E54" s="34"/>
    </row>
    <row r="55" spans="1:5" x14ac:dyDescent="0.3">
      <c r="B55" s="7" t="s">
        <v>150</v>
      </c>
      <c r="C55" s="29">
        <v>2022</v>
      </c>
      <c r="D55" s="29">
        <v>2021</v>
      </c>
    </row>
    <row r="56" spans="1:5" x14ac:dyDescent="0.3">
      <c r="A56">
        <v>1</v>
      </c>
      <c r="B56" t="s">
        <v>151</v>
      </c>
      <c r="C56" s="27">
        <f>('Financial Statements'!B6-'Financial Statements'!C6)/'Financial Statements'!C6</f>
        <v>6.3239764351428418E-2</v>
      </c>
      <c r="D56" s="27">
        <f>('Financial Statements'!C6-'Financial Statements'!D6)/'Financial Statements'!D6</f>
        <v>0.34720743656765435</v>
      </c>
    </row>
    <row r="57" spans="1:5" x14ac:dyDescent="0.3">
      <c r="A57">
        <v>2</v>
      </c>
      <c r="B57" t="s">
        <v>152</v>
      </c>
      <c r="C57" s="27">
        <f>('Financial Statements'!B7-'Financial Statements'!C7)/'Financial Statements'!C7</f>
        <v>0.14181951041286078</v>
      </c>
      <c r="D57" s="27">
        <f>('Financial Statements'!C7-'Financial Statements'!D7)/'Financial Statements'!D7</f>
        <v>0.27259708376729652</v>
      </c>
    </row>
    <row r="58" spans="1:5" x14ac:dyDescent="0.3">
      <c r="A58">
        <v>3</v>
      </c>
      <c r="B58" t="s">
        <v>153</v>
      </c>
      <c r="C58" s="27">
        <f>('Financial Statements'!B8-'Financial Statements'!C8)/'Financial Statements'!C8</f>
        <v>7.7937876041846058E-2</v>
      </c>
      <c r="D58" s="27">
        <f>('Financial Statements'!C8-'Financial Statements'!D8)/'Financial Statements'!D8</f>
        <v>0.33259384733074693</v>
      </c>
    </row>
    <row r="59" spans="1:5" x14ac:dyDescent="0.3">
      <c r="A59">
        <v>4</v>
      </c>
      <c r="B59" t="s">
        <v>156</v>
      </c>
      <c r="C59" s="27">
        <f>('Financial Statements'!B13-'Financial Statements'!C13)/'Financial Statements'!C13</f>
        <v>0.11741997958596143</v>
      </c>
      <c r="D59" s="27">
        <f>('Financial Statements'!C13-'Financial Statements'!D13)/'Financial Statements'!D13</f>
        <v>0.45619116582186819</v>
      </c>
    </row>
    <row r="60" spans="1:5" x14ac:dyDescent="0.3">
      <c r="A60">
        <v>5</v>
      </c>
      <c r="B60" t="s">
        <v>154</v>
      </c>
      <c r="C60" s="27">
        <f>('Financial Statements'!B15-'Financial Statements'!C15)/'Financial Statements'!C15</f>
        <v>0.19791001186456147</v>
      </c>
      <c r="D60" s="27">
        <f>('Financial Statements'!C15-'Financial Statements'!D15)/'Financial Statements'!D15</f>
        <v>0.16862201365187712</v>
      </c>
    </row>
    <row r="61" spans="1:5" x14ac:dyDescent="0.3">
      <c r="A61">
        <v>6</v>
      </c>
      <c r="B61" t="s">
        <v>155</v>
      </c>
      <c r="C61" s="27">
        <f>('Financial Statements'!B16-'Financial Statements'!C16)/'Financial Statements'!C16</f>
        <v>0.14203795567287125</v>
      </c>
      <c r="D61" s="27">
        <f>('Financial Statements'!C16-'Financial Statements'!D16)/'Financial Statements'!D16</f>
        <v>0.10328379192608958</v>
      </c>
    </row>
    <row r="63" spans="1:5" x14ac:dyDescent="0.3">
      <c r="B63" s="7"/>
      <c r="C63" s="30" t="s">
        <v>23</v>
      </c>
      <c r="D63" s="30"/>
      <c r="E63" s="30"/>
    </row>
    <row r="64" spans="1:5" x14ac:dyDescent="0.3">
      <c r="B64" s="7" t="s">
        <v>157</v>
      </c>
      <c r="C64" s="29">
        <v>2022</v>
      </c>
      <c r="D64" s="29">
        <v>2021</v>
      </c>
      <c r="E64" s="29">
        <v>2020</v>
      </c>
    </row>
    <row r="65" spans="1:5" x14ac:dyDescent="0.3">
      <c r="A65">
        <v>7</v>
      </c>
      <c r="B65" t="s">
        <v>158</v>
      </c>
      <c r="C65" s="27">
        <f>'Financial Statements'!B12/'Financial Statements'!B8</f>
        <v>0.56690369438639909</v>
      </c>
      <c r="D65" s="27">
        <f>'Financial Statements'!C12/'Financial Statements'!C8</f>
        <v>0.58220640374832222</v>
      </c>
      <c r="E65" s="27">
        <f>'Financial Statements'!D12/'Financial Statements'!D8</f>
        <v>0.61766752272189129</v>
      </c>
    </row>
    <row r="66" spans="1:5" x14ac:dyDescent="0.3">
      <c r="A66">
        <v>8</v>
      </c>
      <c r="B66" t="s">
        <v>159</v>
      </c>
      <c r="C66" s="27">
        <f>'Financial Statements'!B13/'Financial Statements'!B8</f>
        <v>0.43309630561360085</v>
      </c>
      <c r="D66" s="27">
        <f>'Financial Statements'!C13/'Financial Statements'!C8</f>
        <v>0.41779359625167778</v>
      </c>
      <c r="E66" s="27">
        <f>'Financial Statements'!D13/'Financial Statements'!D8</f>
        <v>0.38233247727810865</v>
      </c>
    </row>
    <row r="67" spans="1:5" x14ac:dyDescent="0.3">
      <c r="A67">
        <v>9</v>
      </c>
      <c r="B67" t="s">
        <v>160</v>
      </c>
      <c r="C67" s="27">
        <f>'Financial Statements'!B15/'Financial Statements'!B8</f>
        <v>6.657148363798665E-2</v>
      </c>
      <c r="D67" s="27">
        <f>'Financial Statements'!C15/'Financial Statements'!C8</f>
        <v>5.9904269074427925E-2</v>
      </c>
      <c r="E67" s="27">
        <f>'Financial Statements'!D15/'Financial Statements'!D8</f>
        <v>6.8309564140393061E-2</v>
      </c>
    </row>
    <row r="68" spans="1:5" x14ac:dyDescent="0.3">
      <c r="A68">
        <v>10</v>
      </c>
      <c r="B68" t="s">
        <v>161</v>
      </c>
      <c r="C68" s="27">
        <f>'Financial Statements'!B16/'Financial Statements'!B8</f>
        <v>6.3637378020328261E-2</v>
      </c>
      <c r="D68" s="27">
        <f>'Financial Statements'!C16/'Financial Statements'!C8</f>
        <v>6.006555190163388E-2</v>
      </c>
      <c r="E68" s="27">
        <f>'Financial Statements'!D16/'Financial Statements'!D8</f>
        <v>7.2549769593646979E-2</v>
      </c>
    </row>
    <row r="69" spans="1:5" x14ac:dyDescent="0.3">
      <c r="A69">
        <v>11</v>
      </c>
      <c r="B69" t="s">
        <v>162</v>
      </c>
      <c r="C69" s="27">
        <f>'Financial Statements'!B18/'Financial Statements'!B8</f>
        <v>0.30288744395528594</v>
      </c>
      <c r="D69" s="27">
        <f>'Financial Statements'!C18/'Financial Statements'!C8</f>
        <v>0.29782377527561593</v>
      </c>
      <c r="E69" s="27">
        <f>'Financial Statements'!D18/'Financial Statements'!D8</f>
        <v>0.24147314354406862</v>
      </c>
    </row>
    <row r="70" spans="1:5" x14ac:dyDescent="0.3">
      <c r="A70">
        <v>12</v>
      </c>
      <c r="B70" t="s">
        <v>163</v>
      </c>
      <c r="C70" s="27">
        <f>'Financial Statements'!B22/'Financial Statements'!B8</f>
        <v>0.25309640705199732</v>
      </c>
      <c r="D70" s="27">
        <f>'Financial Statements'!C22/'Financial Statements'!C8</f>
        <v>0.25881793355694238</v>
      </c>
      <c r="E70" s="27">
        <f>'Financial Statements'!D22/'Financial Statements'!D8</f>
        <v>0.20913611278072236</v>
      </c>
    </row>
    <row r="72" spans="1:5" x14ac:dyDescent="0.3">
      <c r="C72" s="30" t="s">
        <v>23</v>
      </c>
      <c r="D72" s="30"/>
      <c r="E72" s="30"/>
    </row>
    <row r="73" spans="1:5" x14ac:dyDescent="0.3">
      <c r="B73" s="7" t="s">
        <v>164</v>
      </c>
      <c r="C73" s="29">
        <v>2022</v>
      </c>
      <c r="D73" s="29">
        <v>2021</v>
      </c>
      <c r="E73" s="29">
        <v>2020</v>
      </c>
    </row>
    <row r="74" spans="1:5" x14ac:dyDescent="0.3">
      <c r="A74">
        <v>13</v>
      </c>
      <c r="B74" t="s">
        <v>165</v>
      </c>
      <c r="C74" s="27">
        <f>'Financial Statements'!B21/'Financial Statements'!B20</f>
        <v>0.16204461684424407</v>
      </c>
      <c r="D74" s="27">
        <f>'Financial Statements'!C21/'Financial Statements'!C20</f>
        <v>0.13302260844085087</v>
      </c>
      <c r="E74" s="27">
        <f>'Financial Statements'!D21/'Financial Statements'!D20</f>
        <v>0.14428164731484103</v>
      </c>
    </row>
    <row r="75" spans="1:5" x14ac:dyDescent="0.3">
      <c r="A75">
        <v>14</v>
      </c>
      <c r="B75" t="s">
        <v>166</v>
      </c>
      <c r="C75" s="27">
        <f>('Financial Statements'!B45-'Financial Statements'!C45+'Financial Statements'!B79)/'Financial Statements'!B8</f>
        <v>3.4948063541011543E-2</v>
      </c>
      <c r="D75" s="27">
        <f>('Financial Statements'!C45-'Financial Statements'!D45+'Financial Statements'!C79)/'Financial Statements'!C8</f>
        <v>3.8155689866791319E-2</v>
      </c>
      <c r="E75" s="27"/>
    </row>
    <row r="76" spans="1:5" x14ac:dyDescent="0.3">
      <c r="A76">
        <v>15</v>
      </c>
      <c r="B76" t="s">
        <v>167</v>
      </c>
      <c r="C76" s="27">
        <f>('Financial Statements'!B45-'Financial Statements'!C45+'Financial Statements'!B79)/'Financial Statements'!B45</f>
        <v>0.32720754089797471</v>
      </c>
      <c r="D76" s="27">
        <f>('Financial Statements'!C45-'Financial Statements'!D45+'Financial Statements'!C79)/'Financial Statements'!C45</f>
        <v>0.35390466531440162</v>
      </c>
      <c r="E76" s="27"/>
    </row>
    <row r="78" spans="1:5" x14ac:dyDescent="0.3">
      <c r="B78" s="7" t="s">
        <v>168</v>
      </c>
    </row>
    <row r="79" spans="1:5" x14ac:dyDescent="0.3">
      <c r="B79" t="s">
        <v>169</v>
      </c>
    </row>
  </sheetData>
  <mergeCells count="4">
    <mergeCell ref="C72:E72"/>
    <mergeCell ref="C2:E2"/>
    <mergeCell ref="C54:D54"/>
    <mergeCell ref="C63:E63"/>
  </mergeCells>
  <pageMargins left="0.7" right="0.7" top="0.75" bottom="0.75" header="0.3" footer="0.3"/>
  <pageSetup orientation="portrait" r:id="rId1"/>
  <ignoredErrors>
    <ignoredError sqref="C19 D19:E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Jeevan Teja Araveti</cp:lastModifiedBy>
  <dcterms:created xsi:type="dcterms:W3CDTF">2020-05-18T16:32:37Z</dcterms:created>
  <dcterms:modified xsi:type="dcterms:W3CDTF">2024-09-30T04:20:47Z</dcterms:modified>
</cp:coreProperties>
</file>