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wnloads\Quill Capital Partners Investment Anaysis Training\"/>
    </mc:Choice>
  </mc:AlternateContent>
  <bookViews>
    <workbookView xWindow="0" yWindow="0" windowWidth="23040" windowHeight="9252" activeTab="2"/>
  </bookViews>
  <sheets>
    <sheet name="Instructions" sheetId="1" r:id="rId1"/>
    <sheet name="Financial Statements" sheetId="2" r:id="rId2"/>
    <sheet name="List of Ratios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8" i="3" l="1"/>
  <c r="C77" i="3"/>
  <c r="D76" i="3"/>
  <c r="C76" i="3"/>
  <c r="D72" i="3"/>
  <c r="C72" i="3"/>
  <c r="D71" i="3"/>
  <c r="C71" i="3"/>
  <c r="D70" i="3"/>
  <c r="C70" i="3"/>
  <c r="D69" i="3"/>
  <c r="C69" i="3"/>
  <c r="D68" i="3"/>
  <c r="C68" i="3"/>
  <c r="D67" i="3"/>
  <c r="C67" i="3"/>
  <c r="C62" i="3"/>
  <c r="C61" i="3"/>
  <c r="C60" i="3"/>
  <c r="C59" i="3"/>
  <c r="C58" i="3"/>
  <c r="C57" i="3"/>
  <c r="C56" i="3"/>
  <c r="C30" i="3"/>
  <c r="C31" i="3"/>
  <c r="D51" i="3"/>
  <c r="C51" i="3"/>
  <c r="D49" i="3"/>
  <c r="C49" i="3"/>
  <c r="D47" i="3"/>
  <c r="C47" i="3"/>
  <c r="D46" i="3"/>
  <c r="C46" i="3"/>
  <c r="D42" i="3"/>
  <c r="C42" i="3"/>
  <c r="C43" i="3"/>
  <c r="D43" i="3"/>
  <c r="D41" i="3"/>
  <c r="D44" i="3" s="1"/>
  <c r="C41" i="3"/>
  <c r="C44" i="3" s="1"/>
  <c r="C40" i="3" l="1"/>
  <c r="D40" i="3"/>
  <c r="D37" i="3" l="1"/>
  <c r="C37" i="3"/>
  <c r="D36" i="3"/>
  <c r="C36" i="3"/>
  <c r="D35" i="3"/>
  <c r="C35" i="3"/>
  <c r="D34" i="3"/>
  <c r="C34" i="3"/>
  <c r="D28" i="3" l="1"/>
  <c r="C28" i="3"/>
  <c r="D27" i="3"/>
  <c r="C27" i="3"/>
  <c r="D26" i="3"/>
  <c r="C26" i="3"/>
  <c r="D25" i="3"/>
  <c r="C25" i="3"/>
  <c r="D22" i="3"/>
  <c r="C22" i="3"/>
  <c r="D21" i="3"/>
  <c r="D20" i="3" s="1"/>
  <c r="C21" i="3"/>
  <c r="C48" i="3" s="1"/>
  <c r="D19" i="3"/>
  <c r="D50" i="3" s="1"/>
  <c r="C19" i="3"/>
  <c r="C50" i="3" s="1"/>
  <c r="D17" i="3"/>
  <c r="C17" i="3"/>
  <c r="C14" i="3"/>
  <c r="C13" i="3" s="1"/>
  <c r="D11" i="3"/>
  <c r="C11" i="3"/>
  <c r="D10" i="3"/>
  <c r="C10" i="3"/>
  <c r="C12" i="3" s="1"/>
  <c r="D9" i="3"/>
  <c r="C9" i="3"/>
  <c r="D8" i="3"/>
  <c r="C8" i="3"/>
  <c r="C18" i="3" l="1"/>
  <c r="D12" i="3"/>
  <c r="C20" i="3"/>
  <c r="C29" i="3"/>
  <c r="D18" i="3"/>
  <c r="D29" i="3"/>
  <c r="C7" i="3"/>
  <c r="C6" i="3"/>
  <c r="C5" i="3"/>
  <c r="C104" i="2"/>
  <c r="C106" i="2" s="1"/>
  <c r="C107" i="2" s="1"/>
  <c r="B106" i="2"/>
  <c r="B107" i="2" s="1"/>
  <c r="B104" i="2"/>
  <c r="C95" i="2"/>
  <c r="B95" i="2"/>
  <c r="C68" i="2" l="1"/>
  <c r="B68" i="2"/>
  <c r="C58" i="2"/>
  <c r="B58" i="2"/>
  <c r="B53" i="2"/>
  <c r="B59" i="2" s="1"/>
  <c r="B69" i="2" s="1"/>
  <c r="C53" i="2"/>
  <c r="C46" i="2"/>
  <c r="B46" i="2"/>
  <c r="C40" i="2"/>
  <c r="B40" i="2"/>
  <c r="B47" i="2" s="1"/>
  <c r="C15" i="2"/>
  <c r="C17" i="2" s="1"/>
  <c r="B15" i="2"/>
  <c r="B17" i="2" s="1"/>
  <c r="C12" i="2"/>
  <c r="B12" i="2"/>
  <c r="C8" i="2"/>
  <c r="B8" i="2"/>
  <c r="C59" i="2" l="1"/>
  <c r="C69" i="2" s="1"/>
  <c r="D48" i="3"/>
  <c r="D14" i="3"/>
  <c r="D13" i="3" s="1"/>
  <c r="D7" i="3"/>
  <c r="D6" i="3"/>
  <c r="D5" i="3"/>
  <c r="C47" i="2"/>
  <c r="C13" i="2"/>
  <c r="C18" i="2" s="1"/>
  <c r="C20" i="2" s="1"/>
  <c r="C23" i="2" s="1"/>
  <c r="C76" i="2" s="1"/>
  <c r="C88" i="2" s="1"/>
  <c r="B13" i="2"/>
  <c r="B18" i="2" s="1"/>
  <c r="B20" i="2" s="1"/>
  <c r="B23" i="2" s="1"/>
  <c r="B76" i="2" s="1"/>
  <c r="B88" i="2" s="1"/>
  <c r="A47" i="3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<sst xmlns="http://schemas.openxmlformats.org/spreadsheetml/2006/main" count="196" uniqueCount="175">
  <si>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</si>
  <si>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</si>
  <si>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</si>
  <si>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</si>
  <si>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</si>
  <si>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</si>
  <si>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</si>
  <si>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</si>
  <si>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</si>
  <si>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</si>
  <si>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</si>
  <si>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</si>
  <si>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</si>
  <si>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</si>
  <si>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</si>
  <si>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</si>
  <si>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</si>
  <si>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</si>
  <si>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</si>
  <si>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</si>
  <si>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</si>
  <si>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</si>
  <si>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</si>
  <si>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</si>
  <si>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</si>
  <si>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</si>
  <si>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</si>
  <si>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</si>
  <si>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</si>
  <si>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</si>
  <si>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</si>
  <si>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</si>
  <si>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</si>
  <si>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</si>
  <si>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</si>
  <si>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</si>
  <si>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</si>
  <si>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</si>
  <si>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</si>
  <si>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</si>
  <si>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</si>
  <si>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</si>
  <si>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</si>
  <si>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</si>
  <si>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</si>
  <si>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</si>
  <si>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</si>
  <si>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</si>
  <si>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</si>
  <si>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</si>
  <si>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</si>
  <si>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</si>
  <si>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</si>
  <si>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</si>
  <si>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</si>
  <si>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</si>
  <si>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Company Name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</si>
  <si>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</si>
  <si>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</si>
  <si>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</si>
  <si>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Amazon.com, Inc</t>
  </si>
  <si>
    <t>Net Sales:</t>
  </si>
  <si>
    <t>Net product sales</t>
  </si>
  <si>
    <t>Net service sales</t>
  </si>
  <si>
    <t>Total net sales</t>
  </si>
  <si>
    <t>Fulfillment</t>
  </si>
  <si>
    <t>Technology and content</t>
  </si>
  <si>
    <t>Cost of sales</t>
  </si>
  <si>
    <t>Total cost of sales</t>
  </si>
  <si>
    <t>Operating expenses:</t>
  </si>
  <si>
    <t>Selling, general and administrative</t>
  </si>
  <si>
    <t>Other operating expense (income), net</t>
  </si>
  <si>
    <t>Total operating expenses</t>
  </si>
  <si>
    <t>Operating Income</t>
  </si>
  <si>
    <t>Total non-operating income (expense)</t>
  </si>
  <si>
    <t>Income (loss) before income taxes</t>
  </si>
  <si>
    <t>Benefit (provision) for income taxes</t>
  </si>
  <si>
    <t>Equity-method investment activity, net of tax</t>
  </si>
  <si>
    <t>Net Income (loss)</t>
  </si>
  <si>
    <t>Earnings per share:</t>
  </si>
  <si>
    <t>Basic</t>
  </si>
  <si>
    <t>Diluted</t>
  </si>
  <si>
    <t>Weighted average shares used in computation of earnings per share:</t>
  </si>
  <si>
    <t>As at December 31,</t>
  </si>
  <si>
    <t>Years ended December 31,</t>
  </si>
  <si>
    <t>Current assets:</t>
  </si>
  <si>
    <t>Cash and cash equivalents</t>
  </si>
  <si>
    <t>Marketable securities</t>
  </si>
  <si>
    <t>Inventories</t>
  </si>
  <si>
    <t>Accounts receivable, net and other</t>
  </si>
  <si>
    <t>Total current assets</t>
  </si>
  <si>
    <t>Non current assets:</t>
  </si>
  <si>
    <t>Property and equipment, net</t>
  </si>
  <si>
    <t>Operating leases</t>
  </si>
  <si>
    <t>Goodwill</t>
  </si>
  <si>
    <t>Other assets</t>
  </si>
  <si>
    <t>Total non current assets</t>
  </si>
  <si>
    <t>Total assets</t>
  </si>
  <si>
    <t>Current liabilities:</t>
  </si>
  <si>
    <t>Accounts Payable</t>
  </si>
  <si>
    <t>Accrued expenses and other</t>
  </si>
  <si>
    <t>Unearned revenue</t>
  </si>
  <si>
    <t>Total current liabilities</t>
  </si>
  <si>
    <t>Non current liabilities:</t>
  </si>
  <si>
    <t>Long-term lease liabilities</t>
  </si>
  <si>
    <t>Long-term debt</t>
  </si>
  <si>
    <t>Other long-term liabilities</t>
  </si>
  <si>
    <t>Total non current liabilities</t>
  </si>
  <si>
    <t>Total liabilities</t>
  </si>
  <si>
    <t>Stockholders' equity:</t>
  </si>
  <si>
    <t>Preferred stock ($0.01 par value; 500 shares authorized; no shares issued or outstanding)</t>
  </si>
  <si>
    <t>Common stock ($0.01 par value; 100,000 shares authorized; 10,644 and 10,757 shares issued; 10,175 and 10,242 shares outstanding)</t>
  </si>
  <si>
    <t>Treasury stock, at cost</t>
  </si>
  <si>
    <t>Additional paid-in capital</t>
  </si>
  <si>
    <t>Accumulated other comprehensive income (loss)</t>
  </si>
  <si>
    <t>Retained earnings</t>
  </si>
  <si>
    <t>Total stockholders' equity</t>
  </si>
  <si>
    <t>Total liabilities and stockholders' equity</t>
  </si>
  <si>
    <t>CASH, CASH EQUIVALENTS, AND RESTRICTED CASH, BEGINNING OF PERIOD</t>
  </si>
  <si>
    <t>Operating activities:</t>
  </si>
  <si>
    <t>Net income (loss)</t>
  </si>
  <si>
    <t>Adjustments to reconcile net income (loss) to net cash from operating activities:</t>
  </si>
  <si>
    <t>Depreciation and amortization of property and equipment and capitalized content costs, operating lease assets, and other</t>
  </si>
  <si>
    <t>Stock-based compensation</t>
  </si>
  <si>
    <t>Other expense (income), net</t>
  </si>
  <si>
    <t>Deferred income taxes</t>
  </si>
  <si>
    <t>Changes in operating assets and liabilities:</t>
  </si>
  <si>
    <t>Accounts payable</t>
  </si>
  <si>
    <t>Net cash provided by (used in) operating activities</t>
  </si>
  <si>
    <t>Investing activities:</t>
  </si>
  <si>
    <t>Purchases of property and equipment</t>
  </si>
  <si>
    <t>Proceeds from property and equipment sales and incentives</t>
  </si>
  <si>
    <t>Acquisitions, net of cash acquired, and other</t>
  </si>
  <si>
    <t>Sales and maturities of marketable securities</t>
  </si>
  <si>
    <t>Purchases of marketable securities</t>
  </si>
  <si>
    <t>Net cash provided by (used in) investing activities</t>
  </si>
  <si>
    <t>Financing activities:</t>
  </si>
  <si>
    <t>Common stock repurchased</t>
  </si>
  <si>
    <t>Proceeds from short-term debt, and other</t>
  </si>
  <si>
    <t>Repayments of short-term debt, and other</t>
  </si>
  <si>
    <t>Proceeds from long-term debt</t>
  </si>
  <si>
    <t>Repayments of long-term debt</t>
  </si>
  <si>
    <t>Principal repayments of finance leases</t>
  </si>
  <si>
    <t>Principal repayments of financing obligations</t>
  </si>
  <si>
    <t>Net cash provided by (used in) financing activities</t>
  </si>
  <si>
    <t>Foreign currency effect on cash, cash equivalents, and restricted cash</t>
  </si>
  <si>
    <t>Net increase (decrease) in cash, cash equivalents, and restricted cash</t>
  </si>
  <si>
    <t>CASH, CASH EQUIVALENTS, AND RESTRICTED CASH, END OF PERIOD</t>
  </si>
  <si>
    <t>Supplemental cash flow information:</t>
  </si>
  <si>
    <t>Cash paid for interest on debt</t>
  </si>
  <si>
    <t>Cash paid for operating leases</t>
  </si>
  <si>
    <t>Cash paid for interest on finance leases</t>
  </si>
  <si>
    <t>Cash paid for interest on financing obligations</t>
  </si>
  <si>
    <t>Cash paid for income taxes, net of refunds</t>
  </si>
  <si>
    <t>Years ended December 31 ,</t>
  </si>
  <si>
    <t>Share Price</t>
  </si>
  <si>
    <t>Growth Rates:</t>
  </si>
  <si>
    <t>Product Sales</t>
  </si>
  <si>
    <t>Services Sales</t>
  </si>
  <si>
    <t>Total Net Sales</t>
  </si>
  <si>
    <t>Gross Profit</t>
  </si>
  <si>
    <t>SG&amp;A</t>
  </si>
  <si>
    <t>Margins as a Percentage of Net Sales:</t>
  </si>
  <si>
    <t>COGS Margin</t>
  </si>
  <si>
    <t>Gross Profit Margin</t>
  </si>
  <si>
    <t>SG&amp;A Margin</t>
  </si>
  <si>
    <t>Operating Income Margin</t>
  </si>
  <si>
    <t>Net Profit Margin</t>
  </si>
  <si>
    <t>Additional Items:</t>
  </si>
  <si>
    <t>Income Tax Rate</t>
  </si>
  <si>
    <t>CapEx as a Percentage of Sales</t>
  </si>
  <si>
    <t>CapEx as a Percentage of Fixed Assets</t>
  </si>
  <si>
    <t>Technology and content Margin</t>
  </si>
  <si>
    <t>(in days)</t>
  </si>
  <si>
    <t>(in millions)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</si>
</sst>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  <numFmt numFmtId="178" formatCode="_(* #,##0.000_);_(* \(#,##0.000\);_(* &quot;-&quot;??_);_(@_)"/>
    <numFmt numFmtId="181" formatCode="&quot;$&quot;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4" fontId="0" fillId="0" borderId="0" xfId="1" applyNumberFormat="1" applyFont="1"/>
    <xf numFmtId="0" fontId="2" fillId="0" borderId="1" xfId="0" applyFont="1" applyBorder="1"/>
    <xf numFmtId="164" fontId="2" fillId="0" borderId="1" xfId="1" applyNumberFormat="1" applyFont="1" applyBorder="1"/>
    <xf numFmtId="0" fontId="2" fillId="0" borderId="2" xfId="0" applyFont="1" applyBorder="1"/>
    <xf numFmtId="164" fontId="2" fillId="0" borderId="2" xfId="1" applyNumberFormat="1" applyFont="1" applyBorder="1"/>
    <xf numFmtId="0" fontId="0" fillId="4" borderId="0" xfId="0" applyFill="1"/>
    <xf numFmtId="3" fontId="0" fillId="0" borderId="0" xfId="0" applyNumberFormat="1"/>
    <xf numFmtId="164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5" fontId="0" fillId="0" borderId="0" xfId="0" applyNumberForma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0" fillId="0" borderId="0" xfId="0" applyFill="1" applyBorder="1"/>
    <xf numFmtId="164" fontId="0" fillId="0" borderId="0" xfId="1" applyNumberFormat="1" applyFont="1" applyFill="1" applyBorder="1"/>
    <xf numFmtId="164" fontId="2" fillId="0" borderId="0" xfId="1" applyNumberFormat="1" applyFont="1" applyFill="1" applyBorder="1"/>
    <xf numFmtId="3" fontId="0" fillId="0" borderId="0" xfId="0" applyNumberFormat="1" applyFill="1" applyBorder="1"/>
    <xf numFmtId="0" fontId="0" fillId="0" borderId="0" xfId="0" applyAlignment="1">
      <alignment horizontal="left"/>
    </xf>
    <xf numFmtId="0" fontId="0" fillId="0" borderId="0" xfId="0" applyFont="1" applyFill="1" applyBorder="1"/>
    <xf numFmtId="164" fontId="1" fillId="0" borderId="0" xfId="1" applyNumberFormat="1" applyFont="1" applyBorder="1"/>
    <xf numFmtId="2" fontId="0" fillId="4" borderId="0" xfId="0" applyNumberFormat="1" applyFill="1"/>
    <xf numFmtId="43" fontId="0" fillId="4" borderId="0" xfId="0" applyNumberFormat="1" applyFill="1"/>
    <xf numFmtId="2" fontId="0" fillId="0" borderId="0" xfId="0" applyNumberFormat="1"/>
    <xf numFmtId="0" fontId="2" fillId="0" borderId="3" xfId="0" applyFont="1" applyBorder="1" applyAlignment="1">
      <alignment horizontal="left"/>
    </xf>
    <xf numFmtId="164" fontId="2" fillId="0" borderId="3" xfId="1" applyNumberFormat="1" applyFont="1" applyBorder="1"/>
    <xf numFmtId="164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left" wrapText="1" indent="2"/>
    </xf>
    <xf numFmtId="0" fontId="0" fillId="0" borderId="0" xfId="0" applyFont="1" applyAlignment="1">
      <alignment horizontal="left" wrapText="1" indent="1"/>
    </xf>
    <xf numFmtId="164" fontId="0" fillId="0" borderId="0" xfId="1" applyNumberFormat="1" applyFont="1" applyAlignment="1">
      <alignment horizontal="left"/>
    </xf>
    <xf numFmtId="164" fontId="0" fillId="0" borderId="0" xfId="0" applyNumberFormat="1"/>
    <xf numFmtId="0" fontId="0" fillId="0" borderId="0" xfId="0" applyFont="1" applyFill="1" applyBorder="1" applyAlignment="1">
      <alignment horizontal="left" indent="1"/>
    </xf>
    <xf numFmtId="10" fontId="0" fillId="0" borderId="0" xfId="3" applyNumberFormat="1" applyFo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43" fontId="0" fillId="0" borderId="0" xfId="0" applyNumberFormat="1"/>
    <xf numFmtId="178" fontId="0" fillId="0" borderId="0" xfId="0" applyNumberFormat="1"/>
    <xf numFmtId="181" fontId="0" fillId="0" borderId="0" xfId="4" applyNumberFormat="1" applyFont="1"/>
    <xf numFmtId="0" fontId="8" fillId="0" borderId="0" xfId="0" applyFont="1"/>
  </cellXfs>
  <cellStyles count="5">
    <cellStyle name="Comma" xfId="1" builtinId="3"/>
    <cellStyle name="Currency" xfId="4" builtinId="4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/>
  </sheetViews>
  <sheetFormatPr defaultRowHeight="14.4" x14ac:dyDescent="0.3"/>
  <cols>
    <col min="1" max="1" width="157.88671875" style="2" customWidth="1"/>
  </cols>
  <sheetData>
    <row r="1" spans="1:1" ht="23.4" x14ac:dyDescent="0.45">
      <c r="A1" s="3" t="s">
        <v>0</v>
      </c>
    </row>
    <row r="3" spans="1:1" x14ac:dyDescent="0.3">
      <c r="A3" s="2" t="s">
        <v>59</v>
      </c>
    </row>
    <row r="4" spans="1:1" x14ac:dyDescent="0.3">
      <c r="A4" s="5" t="s">
        <v>5</v>
      </c>
    </row>
    <row r="5" spans="1:1" x14ac:dyDescent="0.3">
      <c r="A5" s="6" t="s">
        <v>1</v>
      </c>
    </row>
    <row r="7" spans="1:1" x14ac:dyDescent="0.3">
      <c r="A7" s="2" t="s">
        <v>57</v>
      </c>
    </row>
    <row r="8" spans="1:1" x14ac:dyDescent="0.3">
      <c r="A8" s="2" t="s">
        <v>58</v>
      </c>
    </row>
    <row r="9" spans="1:1" ht="28.8" x14ac:dyDescent="0.3">
      <c r="A9" s="2" t="s">
        <v>2</v>
      </c>
    </row>
    <row r="10" spans="1:1" x14ac:dyDescent="0.3">
      <c r="A10" s="2" t="s">
        <v>6</v>
      </c>
    </row>
    <row r="11" spans="1:1" x14ac:dyDescent="0.3">
      <c r="A11" s="2" t="s">
        <v>4</v>
      </c>
    </row>
    <row r="13" spans="1:1" x14ac:dyDescent="0.3">
      <c r="A13" s="4" t="s">
        <v>3</v>
      </c>
    </row>
    <row r="14" spans="1:1" x14ac:dyDescent="0.3">
      <c r="A14" s="2" t="s">
        <v>7</v>
      </c>
    </row>
    <row r="15" spans="1:1" x14ac:dyDescent="0.3">
      <c r="A15" s="2" t="s">
        <v>8</v>
      </c>
    </row>
  </sheetData>
  <hyperlinks>
    <hyperlink ref="A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workbookViewId="0">
      <pane ySplit="4" topLeftCell="A38" activePane="bottomLeft" state="frozen"/>
      <selection pane="bottomLeft" activeCell="F21" sqref="F21"/>
    </sheetView>
  </sheetViews>
  <sheetFormatPr defaultRowHeight="14.4" x14ac:dyDescent="0.3"/>
  <cols>
    <col min="1" max="1" width="59" customWidth="1"/>
    <col min="2" max="2" width="11.5546875" bestFit="1" customWidth="1"/>
    <col min="3" max="3" width="11.5546875" customWidth="1"/>
    <col min="4" max="4" width="11.6640625" bestFit="1" customWidth="1"/>
  </cols>
  <sheetData>
    <row r="1" spans="1:10" ht="60" customHeight="1" x14ac:dyDescent="0.3">
      <c r="A1" s="7" t="s">
        <v>60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0" x14ac:dyDescent="0.3">
      <c r="A2" s="50" t="s">
        <v>10</v>
      </c>
      <c r="B2" s="50"/>
      <c r="C2" s="50"/>
      <c r="D2" s="27"/>
    </row>
    <row r="3" spans="1:10" x14ac:dyDescent="0.3">
      <c r="B3" s="49" t="s">
        <v>84</v>
      </c>
      <c r="C3" s="49"/>
      <c r="D3" s="28"/>
    </row>
    <row r="4" spans="1:10" x14ac:dyDescent="0.3">
      <c r="B4" s="24">
        <v>2022</v>
      </c>
      <c r="C4" s="24">
        <v>2021</v>
      </c>
      <c r="D4" s="29"/>
    </row>
    <row r="5" spans="1:10" x14ac:dyDescent="0.3">
      <c r="A5" t="s">
        <v>61</v>
      </c>
      <c r="D5" s="30"/>
    </row>
    <row r="6" spans="1:10" x14ac:dyDescent="0.3">
      <c r="A6" s="1" t="s">
        <v>62</v>
      </c>
      <c r="B6" s="10">
        <v>242901</v>
      </c>
      <c r="C6" s="10">
        <v>241787</v>
      </c>
      <c r="D6" s="31"/>
    </row>
    <row r="7" spans="1:10" x14ac:dyDescent="0.3">
      <c r="A7" s="1" t="s">
        <v>63</v>
      </c>
      <c r="B7" s="10">
        <v>271082</v>
      </c>
      <c r="C7" s="10">
        <v>228035</v>
      </c>
      <c r="D7" s="31"/>
    </row>
    <row r="8" spans="1:10" x14ac:dyDescent="0.3">
      <c r="A8" s="11" t="s">
        <v>64</v>
      </c>
      <c r="B8" s="12">
        <f>B6+B7</f>
        <v>513983</v>
      </c>
      <c r="C8" s="12">
        <f>C6+C7</f>
        <v>469822</v>
      </c>
      <c r="D8" s="32"/>
    </row>
    <row r="9" spans="1:10" x14ac:dyDescent="0.3">
      <c r="A9" s="1" t="s">
        <v>67</v>
      </c>
      <c r="B9" s="10">
        <v>288831</v>
      </c>
      <c r="C9" s="10">
        <v>272344</v>
      </c>
      <c r="D9" s="31"/>
    </row>
    <row r="10" spans="1:10" x14ac:dyDescent="0.3">
      <c r="A10" s="1" t="s">
        <v>65</v>
      </c>
      <c r="B10" s="10">
        <v>84299</v>
      </c>
      <c r="C10" s="10">
        <v>75111</v>
      </c>
      <c r="D10" s="31"/>
    </row>
    <row r="11" spans="1:10" x14ac:dyDescent="0.3">
      <c r="A11" s="1" t="s">
        <v>66</v>
      </c>
      <c r="B11" s="10">
        <v>73213</v>
      </c>
      <c r="C11" s="10">
        <v>56052</v>
      </c>
      <c r="D11" s="31"/>
    </row>
    <row r="12" spans="1:10" x14ac:dyDescent="0.3">
      <c r="A12" s="11" t="s">
        <v>68</v>
      </c>
      <c r="B12" s="12">
        <f>SUM(B9:B11)</f>
        <v>446343</v>
      </c>
      <c r="C12" s="12">
        <f>SUM(C9:C11)</f>
        <v>403507</v>
      </c>
      <c r="D12" s="32"/>
    </row>
    <row r="13" spans="1:10" x14ac:dyDescent="0.3">
      <c r="A13" s="11" t="s">
        <v>11</v>
      </c>
      <c r="B13" s="12">
        <f>B8-B12</f>
        <v>67640</v>
      </c>
      <c r="C13" s="12">
        <f>C8-C12</f>
        <v>66315</v>
      </c>
      <c r="D13" s="32"/>
    </row>
    <row r="14" spans="1:10" x14ac:dyDescent="0.3">
      <c r="A14" s="34" t="s">
        <v>69</v>
      </c>
      <c r="B14" s="10"/>
      <c r="C14" s="10"/>
      <c r="D14" s="31"/>
    </row>
    <row r="15" spans="1:10" x14ac:dyDescent="0.3">
      <c r="A15" s="1" t="s">
        <v>70</v>
      </c>
      <c r="B15" s="10">
        <f>42238+11891</f>
        <v>54129</v>
      </c>
      <c r="C15" s="10">
        <f>32551+8823</f>
        <v>41374</v>
      </c>
      <c r="D15" s="31"/>
    </row>
    <row r="16" spans="1:10" x14ac:dyDescent="0.3">
      <c r="A16" s="1" t="s">
        <v>71</v>
      </c>
      <c r="B16" s="10">
        <v>1263</v>
      </c>
      <c r="C16" s="10">
        <v>62</v>
      </c>
      <c r="D16" s="31"/>
    </row>
    <row r="17" spans="1:4" x14ac:dyDescent="0.3">
      <c r="A17" s="11" t="s">
        <v>72</v>
      </c>
      <c r="B17" s="12">
        <f>B15+B16</f>
        <v>55392</v>
      </c>
      <c r="C17" s="12">
        <f>C15+C16</f>
        <v>41436</v>
      </c>
      <c r="D17" s="32"/>
    </row>
    <row r="18" spans="1:4" s="11" customFormat="1" x14ac:dyDescent="0.3">
      <c r="A18" s="11" t="s">
        <v>73</v>
      </c>
      <c r="B18" s="12">
        <f>B13-B17</f>
        <v>12248</v>
      </c>
      <c r="C18" s="12">
        <f>C13-C17</f>
        <v>24879</v>
      </c>
      <c r="D18" s="32"/>
    </row>
    <row r="19" spans="1:4" x14ac:dyDescent="0.3">
      <c r="A19" t="s">
        <v>74</v>
      </c>
      <c r="B19" s="10">
        <v>-18184</v>
      </c>
      <c r="C19" s="10">
        <v>13272</v>
      </c>
      <c r="D19" s="31"/>
    </row>
    <row r="20" spans="1:4" x14ac:dyDescent="0.3">
      <c r="A20" s="11" t="s">
        <v>75</v>
      </c>
      <c r="B20" s="12">
        <f>B18+B19</f>
        <v>-5936</v>
      </c>
      <c r="C20" s="12">
        <f>C18+C19</f>
        <v>38151</v>
      </c>
      <c r="D20" s="32"/>
    </row>
    <row r="21" spans="1:4" x14ac:dyDescent="0.3">
      <c r="A21" s="35" t="s">
        <v>76</v>
      </c>
      <c r="B21" s="36">
        <v>3217</v>
      </c>
      <c r="C21" s="36">
        <v>-4791</v>
      </c>
      <c r="D21" s="32"/>
    </row>
    <row r="22" spans="1:4" x14ac:dyDescent="0.3">
      <c r="A22" s="35" t="s">
        <v>77</v>
      </c>
      <c r="B22" s="10">
        <v>-3</v>
      </c>
      <c r="C22" s="10">
        <v>4</v>
      </c>
      <c r="D22" s="31"/>
    </row>
    <row r="23" spans="1:4" ht="15" thickBot="1" x14ac:dyDescent="0.35">
      <c r="A23" s="13" t="s">
        <v>78</v>
      </c>
      <c r="B23" s="14">
        <f>SUM(B20:B22)</f>
        <v>-2722</v>
      </c>
      <c r="C23" s="14">
        <f>SUM(C20:C22)</f>
        <v>33364</v>
      </c>
      <c r="D23" s="32"/>
    </row>
    <row r="24" spans="1:4" ht="15" thickTop="1" x14ac:dyDescent="0.3">
      <c r="A24" s="35" t="s">
        <v>79</v>
      </c>
      <c r="D24" s="30"/>
    </row>
    <row r="25" spans="1:4" x14ac:dyDescent="0.3">
      <c r="A25" s="1" t="s">
        <v>80</v>
      </c>
      <c r="B25" s="38">
        <v>-0.27</v>
      </c>
      <c r="C25" s="37">
        <v>3.3</v>
      </c>
      <c r="D25" s="30"/>
    </row>
    <row r="26" spans="1:4" x14ac:dyDescent="0.3">
      <c r="A26" s="1" t="s">
        <v>81</v>
      </c>
      <c r="B26" s="38">
        <v>-0.27</v>
      </c>
      <c r="C26" s="15">
        <v>3.24</v>
      </c>
      <c r="D26" s="30"/>
    </row>
    <row r="27" spans="1:4" x14ac:dyDescent="0.3">
      <c r="A27" t="s">
        <v>82</v>
      </c>
      <c r="D27" s="30"/>
    </row>
    <row r="28" spans="1:4" x14ac:dyDescent="0.3">
      <c r="A28" s="1" t="s">
        <v>80</v>
      </c>
      <c r="B28" s="16">
        <v>10189</v>
      </c>
      <c r="C28" s="16">
        <v>10117</v>
      </c>
      <c r="D28" s="33"/>
    </row>
    <row r="29" spans="1:4" x14ac:dyDescent="0.3">
      <c r="A29" s="1" t="s">
        <v>81</v>
      </c>
      <c r="B29" s="16">
        <v>10189</v>
      </c>
      <c r="C29" s="16">
        <v>10296</v>
      </c>
      <c r="D29" s="33"/>
    </row>
    <row r="30" spans="1:4" x14ac:dyDescent="0.3">
      <c r="A30" s="1" t="s">
        <v>155</v>
      </c>
      <c r="B30">
        <v>84</v>
      </c>
      <c r="C30">
        <v>166.72</v>
      </c>
      <c r="D30" s="30"/>
    </row>
    <row r="31" spans="1:4" x14ac:dyDescent="0.3">
      <c r="D31" s="30"/>
    </row>
    <row r="32" spans="1:4" x14ac:dyDescent="0.3">
      <c r="A32" s="50" t="s">
        <v>12</v>
      </c>
      <c r="B32" s="50"/>
      <c r="C32" s="50"/>
      <c r="D32" s="27"/>
    </row>
    <row r="33" spans="1:4" x14ac:dyDescent="0.3">
      <c r="B33" s="49" t="s">
        <v>83</v>
      </c>
      <c r="C33" s="49"/>
      <c r="D33" s="27"/>
    </row>
    <row r="34" spans="1:4" x14ac:dyDescent="0.3">
      <c r="B34" s="24">
        <v>2022</v>
      </c>
      <c r="C34" s="24">
        <v>2021</v>
      </c>
      <c r="D34" s="29"/>
    </row>
    <row r="35" spans="1:4" x14ac:dyDescent="0.3">
      <c r="A35" t="s">
        <v>85</v>
      </c>
      <c r="D35" s="30"/>
    </row>
    <row r="36" spans="1:4" x14ac:dyDescent="0.3">
      <c r="A36" s="1" t="s">
        <v>86</v>
      </c>
      <c r="B36" s="10">
        <v>53888</v>
      </c>
      <c r="C36" s="10">
        <v>36220</v>
      </c>
      <c r="D36" s="30"/>
    </row>
    <row r="37" spans="1:4" x14ac:dyDescent="0.3">
      <c r="A37" s="1" t="s">
        <v>87</v>
      </c>
      <c r="B37" s="10">
        <v>16138</v>
      </c>
      <c r="C37" s="10">
        <v>59829</v>
      </c>
      <c r="D37" s="31"/>
    </row>
    <row r="38" spans="1:4" x14ac:dyDescent="0.3">
      <c r="A38" s="1" t="s">
        <v>88</v>
      </c>
      <c r="B38" s="10">
        <v>34405</v>
      </c>
      <c r="C38" s="10">
        <v>32640</v>
      </c>
      <c r="D38" s="31"/>
    </row>
    <row r="39" spans="1:4" x14ac:dyDescent="0.3">
      <c r="A39" s="1" t="s">
        <v>89</v>
      </c>
      <c r="B39" s="10">
        <v>42360</v>
      </c>
      <c r="C39" s="10">
        <v>32891</v>
      </c>
      <c r="D39" s="31"/>
    </row>
    <row r="40" spans="1:4" x14ac:dyDescent="0.3">
      <c r="A40" s="11" t="s">
        <v>90</v>
      </c>
      <c r="B40" s="12">
        <f>SUM(B36:B39)</f>
        <v>146791</v>
      </c>
      <c r="C40" s="12">
        <f>SUM(C36:C39)</f>
        <v>161580</v>
      </c>
      <c r="D40" s="32"/>
    </row>
    <row r="41" spans="1:4" x14ac:dyDescent="0.3">
      <c r="A41" s="34" t="s">
        <v>91</v>
      </c>
      <c r="B41" s="10"/>
      <c r="C41" s="10"/>
      <c r="D41" s="31"/>
    </row>
    <row r="42" spans="1:4" x14ac:dyDescent="0.3">
      <c r="A42" s="1" t="s">
        <v>92</v>
      </c>
      <c r="B42" s="10">
        <v>186715</v>
      </c>
      <c r="C42" s="10">
        <v>160281</v>
      </c>
      <c r="D42" s="31"/>
    </row>
    <row r="43" spans="1:4" x14ac:dyDescent="0.3">
      <c r="A43" s="1" t="s">
        <v>93</v>
      </c>
      <c r="B43" s="10">
        <v>66123</v>
      </c>
      <c r="C43" s="10">
        <v>56082</v>
      </c>
      <c r="D43" s="31"/>
    </row>
    <row r="44" spans="1:4" x14ac:dyDescent="0.3">
      <c r="A44" s="1" t="s">
        <v>94</v>
      </c>
      <c r="B44" s="10">
        <v>20288</v>
      </c>
      <c r="C44" s="10">
        <v>15371</v>
      </c>
      <c r="D44" s="31"/>
    </row>
    <row r="45" spans="1:4" x14ac:dyDescent="0.3">
      <c r="A45" s="1" t="s">
        <v>95</v>
      </c>
      <c r="B45" s="10">
        <v>42758</v>
      </c>
      <c r="C45" s="10">
        <v>27235</v>
      </c>
      <c r="D45" s="31"/>
    </row>
    <row r="46" spans="1:4" x14ac:dyDescent="0.3">
      <c r="A46" s="11" t="s">
        <v>96</v>
      </c>
      <c r="B46" s="12">
        <f>SUM(B42:B45)</f>
        <v>315884</v>
      </c>
      <c r="C46" s="12">
        <f>SUM(C42:C45)</f>
        <v>258969</v>
      </c>
      <c r="D46" s="32"/>
    </row>
    <row r="47" spans="1:4" ht="15" thickBot="1" x14ac:dyDescent="0.35">
      <c r="A47" s="13" t="s">
        <v>97</v>
      </c>
      <c r="B47" s="14">
        <f>B40+B46</f>
        <v>462675</v>
      </c>
      <c r="C47" s="14">
        <f>C40+C46</f>
        <v>420549</v>
      </c>
      <c r="D47" s="32"/>
    </row>
    <row r="48" spans="1:4" ht="15" thickTop="1" x14ac:dyDescent="0.3">
      <c r="D48" s="30"/>
    </row>
    <row r="49" spans="1:4" x14ac:dyDescent="0.3">
      <c r="A49" t="s">
        <v>98</v>
      </c>
      <c r="D49" s="30"/>
    </row>
    <row r="50" spans="1:4" x14ac:dyDescent="0.3">
      <c r="A50" s="1" t="s">
        <v>99</v>
      </c>
      <c r="B50" s="10">
        <v>79600</v>
      </c>
      <c r="C50" s="10">
        <v>78664</v>
      </c>
      <c r="D50" s="31"/>
    </row>
    <row r="51" spans="1:4" x14ac:dyDescent="0.3">
      <c r="A51" s="1" t="s">
        <v>100</v>
      </c>
      <c r="B51" s="10">
        <v>62566</v>
      </c>
      <c r="C51" s="10">
        <v>51775</v>
      </c>
      <c r="D51" s="31"/>
    </row>
    <row r="52" spans="1:4" x14ac:dyDescent="0.3">
      <c r="A52" s="1" t="s">
        <v>101</v>
      </c>
      <c r="B52" s="10">
        <v>13227</v>
      </c>
      <c r="C52" s="10">
        <v>11827</v>
      </c>
      <c r="D52" s="31"/>
    </row>
    <row r="53" spans="1:4" x14ac:dyDescent="0.3">
      <c r="A53" s="11" t="s">
        <v>102</v>
      </c>
      <c r="B53" s="12">
        <f>SUM(B50:B52)</f>
        <v>155393</v>
      </c>
      <c r="C53" s="12">
        <f>SUM(C50:C52)</f>
        <v>142266</v>
      </c>
      <c r="D53" s="32"/>
    </row>
    <row r="54" spans="1:4" x14ac:dyDescent="0.3">
      <c r="A54" s="34" t="s">
        <v>103</v>
      </c>
      <c r="B54" s="10"/>
      <c r="C54" s="10"/>
      <c r="D54" s="31"/>
    </row>
    <row r="55" spans="1:4" x14ac:dyDescent="0.3">
      <c r="A55" s="1" t="s">
        <v>104</v>
      </c>
      <c r="B55" s="10">
        <v>72968</v>
      </c>
      <c r="C55" s="10">
        <v>67651</v>
      </c>
      <c r="D55" s="31"/>
    </row>
    <row r="56" spans="1:4" x14ac:dyDescent="0.3">
      <c r="A56" s="1" t="s">
        <v>105</v>
      </c>
      <c r="B56" s="10">
        <v>67150</v>
      </c>
      <c r="C56" s="10">
        <v>48744</v>
      </c>
      <c r="D56" s="31"/>
    </row>
    <row r="57" spans="1:4" x14ac:dyDescent="0.3">
      <c r="A57" s="1" t="s">
        <v>106</v>
      </c>
      <c r="B57" s="10">
        <v>21121</v>
      </c>
      <c r="C57" s="10">
        <v>23643</v>
      </c>
      <c r="D57" s="31"/>
    </row>
    <row r="58" spans="1:4" x14ac:dyDescent="0.3">
      <c r="A58" s="40" t="s">
        <v>107</v>
      </c>
      <c r="B58" s="41">
        <f>SUM(B55:B57)</f>
        <v>161239</v>
      </c>
      <c r="C58" s="41">
        <f>SUM(C55:C57)</f>
        <v>140038</v>
      </c>
      <c r="D58" s="31"/>
    </row>
    <row r="59" spans="1:4" x14ac:dyDescent="0.3">
      <c r="A59" s="11" t="s">
        <v>108</v>
      </c>
      <c r="B59" s="12">
        <f>B53+B58</f>
        <v>316632</v>
      </c>
      <c r="C59" s="12">
        <f>C53+C58</f>
        <v>282304</v>
      </c>
      <c r="D59" s="32"/>
    </row>
    <row r="60" spans="1:4" x14ac:dyDescent="0.3">
      <c r="B60" s="10"/>
      <c r="C60" s="10"/>
      <c r="D60" s="31"/>
    </row>
    <row r="61" spans="1:4" x14ac:dyDescent="0.3">
      <c r="A61" t="s">
        <v>109</v>
      </c>
      <c r="B61" s="10"/>
      <c r="C61" s="10"/>
      <c r="D61" s="31"/>
    </row>
    <row r="62" spans="1:4" ht="28.8" x14ac:dyDescent="0.3">
      <c r="A62" s="5" t="s">
        <v>110</v>
      </c>
      <c r="B62" s="42"/>
      <c r="C62" s="42"/>
      <c r="D62" s="31"/>
    </row>
    <row r="63" spans="1:4" ht="28.8" x14ac:dyDescent="0.3">
      <c r="A63" s="5" t="s">
        <v>111</v>
      </c>
      <c r="B63" s="10">
        <v>108</v>
      </c>
      <c r="C63" s="10">
        <v>106</v>
      </c>
      <c r="D63" s="31"/>
    </row>
    <row r="64" spans="1:4" x14ac:dyDescent="0.3">
      <c r="A64" s="5" t="s">
        <v>112</v>
      </c>
      <c r="B64" s="10">
        <v>-7837</v>
      </c>
      <c r="C64" s="10">
        <v>-1837</v>
      </c>
      <c r="D64" s="31"/>
    </row>
    <row r="65" spans="1:4" x14ac:dyDescent="0.3">
      <c r="A65" s="5" t="s">
        <v>113</v>
      </c>
      <c r="B65" s="10">
        <v>75066</v>
      </c>
      <c r="C65" s="10">
        <v>55437</v>
      </c>
      <c r="D65" s="31"/>
    </row>
    <row r="66" spans="1:4" x14ac:dyDescent="0.3">
      <c r="A66" s="5" t="s">
        <v>114</v>
      </c>
      <c r="B66" s="10">
        <v>-4487</v>
      </c>
      <c r="C66" s="10">
        <v>-1376</v>
      </c>
      <c r="D66" s="31"/>
    </row>
    <row r="67" spans="1:4" x14ac:dyDescent="0.3">
      <c r="A67" s="1" t="s">
        <v>115</v>
      </c>
      <c r="B67" s="10">
        <v>83193</v>
      </c>
      <c r="C67" s="10">
        <v>85915</v>
      </c>
      <c r="D67" s="31"/>
    </row>
    <row r="68" spans="1:4" x14ac:dyDescent="0.3">
      <c r="A68" s="11" t="s">
        <v>116</v>
      </c>
      <c r="B68" s="12">
        <f>SUM(B63:B67)</f>
        <v>146043</v>
      </c>
      <c r="C68" s="12">
        <f>SUM(C63:C67)</f>
        <v>138245</v>
      </c>
      <c r="D68" s="32"/>
    </row>
    <row r="69" spans="1:4" ht="15" thickBot="1" x14ac:dyDescent="0.35">
      <c r="A69" s="13" t="s">
        <v>117</v>
      </c>
      <c r="B69" s="14">
        <f>B59+B68</f>
        <v>462675</v>
      </c>
      <c r="C69" s="14">
        <f>C59+C68</f>
        <v>420549</v>
      </c>
      <c r="D69" s="32"/>
    </row>
    <row r="70" spans="1:4" ht="15" thickTop="1" x14ac:dyDescent="0.3">
      <c r="D70" s="30"/>
    </row>
    <row r="71" spans="1:4" x14ac:dyDescent="0.3">
      <c r="A71" s="50" t="s">
        <v>13</v>
      </c>
      <c r="B71" s="50"/>
      <c r="C71" s="50"/>
      <c r="D71" s="27"/>
    </row>
    <row r="72" spans="1:4" x14ac:dyDescent="0.3">
      <c r="B72" s="49" t="s">
        <v>84</v>
      </c>
      <c r="C72" s="49"/>
      <c r="D72" s="27"/>
    </row>
    <row r="73" spans="1:4" x14ac:dyDescent="0.3">
      <c r="B73" s="24">
        <v>2022</v>
      </c>
      <c r="C73" s="24">
        <v>2021</v>
      </c>
      <c r="D73" s="29"/>
    </row>
    <row r="74" spans="1:4" ht="28.8" x14ac:dyDescent="0.3">
      <c r="A74" s="2" t="s">
        <v>118</v>
      </c>
      <c r="B74" s="10">
        <v>36477</v>
      </c>
      <c r="C74" s="10">
        <v>42377</v>
      </c>
      <c r="D74" s="30"/>
    </row>
    <row r="75" spans="1:4" x14ac:dyDescent="0.3">
      <c r="A75" s="9" t="s">
        <v>119</v>
      </c>
      <c r="B75" s="10"/>
      <c r="C75" s="17"/>
      <c r="D75" s="32"/>
    </row>
    <row r="76" spans="1:4" x14ac:dyDescent="0.3">
      <c r="A76" s="18" t="s">
        <v>120</v>
      </c>
      <c r="B76" s="10">
        <f>B23</f>
        <v>-2722</v>
      </c>
      <c r="C76" s="10">
        <f>C23</f>
        <v>33364</v>
      </c>
      <c r="D76" s="31"/>
    </row>
    <row r="77" spans="1:4" ht="28.8" x14ac:dyDescent="0.3">
      <c r="A77" s="44" t="s">
        <v>121</v>
      </c>
      <c r="B77" s="17"/>
      <c r="C77" s="17"/>
      <c r="D77" s="32"/>
    </row>
    <row r="78" spans="1:4" ht="28.8" x14ac:dyDescent="0.3">
      <c r="A78" s="43" t="s">
        <v>122</v>
      </c>
      <c r="B78" s="10">
        <v>41921</v>
      </c>
      <c r="C78" s="10">
        <v>34433</v>
      </c>
      <c r="D78" s="31"/>
    </row>
    <row r="79" spans="1:4" x14ac:dyDescent="0.3">
      <c r="A79" s="19" t="s">
        <v>123</v>
      </c>
      <c r="B79" s="10">
        <v>19621</v>
      </c>
      <c r="C79" s="10">
        <v>12757</v>
      </c>
      <c r="D79" s="31"/>
    </row>
    <row r="80" spans="1:4" x14ac:dyDescent="0.3">
      <c r="A80" s="19" t="s">
        <v>124</v>
      </c>
      <c r="B80" s="45">
        <v>16966</v>
      </c>
      <c r="C80" s="10">
        <v>-14306</v>
      </c>
      <c r="D80" s="31"/>
    </row>
    <row r="81" spans="1:4" x14ac:dyDescent="0.3">
      <c r="A81" s="19" t="s">
        <v>125</v>
      </c>
      <c r="B81" s="10">
        <v>-8148</v>
      </c>
      <c r="C81" s="10">
        <v>-310</v>
      </c>
      <c r="D81" s="31"/>
    </row>
    <row r="82" spans="1:4" x14ac:dyDescent="0.3">
      <c r="A82" s="1" t="s">
        <v>126</v>
      </c>
      <c r="B82" s="10"/>
      <c r="C82" s="10"/>
      <c r="D82" s="31"/>
    </row>
    <row r="83" spans="1:4" x14ac:dyDescent="0.3">
      <c r="A83" s="19" t="s">
        <v>88</v>
      </c>
      <c r="B83" s="10">
        <v>-2592</v>
      </c>
      <c r="C83" s="10">
        <v>-9487</v>
      </c>
      <c r="D83" s="31"/>
    </row>
    <row r="84" spans="1:4" x14ac:dyDescent="0.3">
      <c r="A84" s="19" t="s">
        <v>89</v>
      </c>
      <c r="B84" s="10">
        <v>-21897</v>
      </c>
      <c r="C84" s="10">
        <v>-18163</v>
      </c>
      <c r="D84" s="31"/>
    </row>
    <row r="85" spans="1:4" x14ac:dyDescent="0.3">
      <c r="A85" s="19" t="s">
        <v>127</v>
      </c>
      <c r="B85" s="10">
        <v>2945</v>
      </c>
      <c r="C85" s="10">
        <v>3602</v>
      </c>
      <c r="D85" s="31"/>
    </row>
    <row r="86" spans="1:4" x14ac:dyDescent="0.3">
      <c r="A86" s="19" t="s">
        <v>100</v>
      </c>
      <c r="B86" s="10">
        <v>-1558</v>
      </c>
      <c r="C86" s="10">
        <v>2123</v>
      </c>
      <c r="D86" s="31"/>
    </row>
    <row r="87" spans="1:4" x14ac:dyDescent="0.3">
      <c r="A87" s="19" t="s">
        <v>101</v>
      </c>
      <c r="B87" s="10">
        <v>2216</v>
      </c>
      <c r="C87" s="10">
        <v>2314</v>
      </c>
      <c r="D87" s="31"/>
    </row>
    <row r="88" spans="1:4" x14ac:dyDescent="0.3">
      <c r="A88" s="11" t="s">
        <v>128</v>
      </c>
      <c r="B88" s="12">
        <f>B76+SUM(B78:B81)+SUM(B83:B87)</f>
        <v>46752</v>
      </c>
      <c r="C88" s="12">
        <f>C76+SUM(C78:C81)+SUM(C83:C87)</f>
        <v>46327</v>
      </c>
      <c r="D88" s="32"/>
    </row>
    <row r="89" spans="1:4" x14ac:dyDescent="0.3">
      <c r="A89" s="9" t="s">
        <v>129</v>
      </c>
      <c r="B89" s="10"/>
      <c r="C89" s="10"/>
      <c r="D89" s="31"/>
    </row>
    <row r="90" spans="1:4" x14ac:dyDescent="0.3">
      <c r="A90" s="1" t="s">
        <v>130</v>
      </c>
      <c r="B90" s="10">
        <v>-63645</v>
      </c>
      <c r="C90" s="10">
        <v>-61053</v>
      </c>
      <c r="D90" s="31"/>
    </row>
    <row r="91" spans="1:4" x14ac:dyDescent="0.3">
      <c r="A91" s="1" t="s">
        <v>131</v>
      </c>
      <c r="B91" s="10">
        <v>5324</v>
      </c>
      <c r="C91" s="10">
        <v>5657</v>
      </c>
      <c r="D91" s="31"/>
    </row>
    <row r="92" spans="1:4" x14ac:dyDescent="0.3">
      <c r="A92" s="1" t="s">
        <v>132</v>
      </c>
      <c r="B92" s="10">
        <v>-8316</v>
      </c>
      <c r="C92" s="10">
        <v>-1985</v>
      </c>
      <c r="D92" s="31"/>
    </row>
    <row r="93" spans="1:4" x14ac:dyDescent="0.3">
      <c r="A93" s="1" t="s">
        <v>133</v>
      </c>
      <c r="B93" s="10">
        <v>31601</v>
      </c>
      <c r="C93" s="10">
        <v>59384</v>
      </c>
      <c r="D93" s="31"/>
    </row>
    <row r="94" spans="1:4" x14ac:dyDescent="0.3">
      <c r="A94" s="1" t="s">
        <v>134</v>
      </c>
      <c r="B94" s="10">
        <v>-2565</v>
      </c>
      <c r="C94" s="10">
        <v>-60157</v>
      </c>
      <c r="D94" s="31"/>
    </row>
    <row r="95" spans="1:4" x14ac:dyDescent="0.3">
      <c r="A95" s="11" t="s">
        <v>135</v>
      </c>
      <c r="B95" s="12">
        <f>SUM(B90:B94)</f>
        <v>-37601</v>
      </c>
      <c r="C95" s="12">
        <f>SUM(C90:C94)</f>
        <v>-58154</v>
      </c>
      <c r="D95" s="32"/>
    </row>
    <row r="96" spans="1:4" x14ac:dyDescent="0.3">
      <c r="A96" s="9" t="s">
        <v>136</v>
      </c>
      <c r="B96" s="10"/>
      <c r="C96" s="10"/>
      <c r="D96" s="31"/>
    </row>
    <row r="97" spans="1:5" x14ac:dyDescent="0.3">
      <c r="A97" s="1" t="s">
        <v>137</v>
      </c>
      <c r="B97" s="10">
        <v>-6000</v>
      </c>
      <c r="C97" s="10"/>
      <c r="D97" s="31"/>
    </row>
    <row r="98" spans="1:5" x14ac:dyDescent="0.3">
      <c r="A98" s="1" t="s">
        <v>138</v>
      </c>
      <c r="B98" s="10">
        <v>41553</v>
      </c>
      <c r="C98" s="10">
        <v>7956</v>
      </c>
      <c r="D98" s="31"/>
    </row>
    <row r="99" spans="1:5" x14ac:dyDescent="0.3">
      <c r="A99" s="1" t="s">
        <v>139</v>
      </c>
      <c r="B99" s="10">
        <v>-37554</v>
      </c>
      <c r="C99" s="10">
        <v>-7753</v>
      </c>
      <c r="D99" s="31"/>
    </row>
    <row r="100" spans="1:5" x14ac:dyDescent="0.3">
      <c r="A100" s="1" t="s">
        <v>140</v>
      </c>
      <c r="B100" s="10">
        <v>21166</v>
      </c>
      <c r="C100" s="10">
        <v>19003</v>
      </c>
      <c r="D100" s="31"/>
    </row>
    <row r="101" spans="1:5" x14ac:dyDescent="0.3">
      <c r="A101" s="1" t="s">
        <v>141</v>
      </c>
      <c r="B101" s="10">
        <v>-1258</v>
      </c>
      <c r="C101" s="10">
        <v>-1590</v>
      </c>
      <c r="D101" s="31"/>
    </row>
    <row r="102" spans="1:5" x14ac:dyDescent="0.3">
      <c r="A102" s="1" t="s">
        <v>142</v>
      </c>
      <c r="B102" s="10">
        <v>-7941</v>
      </c>
      <c r="C102" s="10">
        <v>-11163</v>
      </c>
      <c r="D102" s="31"/>
    </row>
    <row r="103" spans="1:5" x14ac:dyDescent="0.3">
      <c r="A103" s="1" t="s">
        <v>143</v>
      </c>
      <c r="B103" s="10">
        <v>-248</v>
      </c>
      <c r="C103" s="10">
        <v>-162</v>
      </c>
      <c r="D103" s="31"/>
    </row>
    <row r="104" spans="1:5" x14ac:dyDescent="0.3">
      <c r="A104" s="11" t="s">
        <v>144</v>
      </c>
      <c r="B104" s="12">
        <f>SUM(B97:B103)</f>
        <v>9718</v>
      </c>
      <c r="C104" s="12">
        <f>SUM(C97:C103)</f>
        <v>6291</v>
      </c>
      <c r="D104" s="32"/>
      <c r="E104" s="46"/>
    </row>
    <row r="105" spans="1:5" x14ac:dyDescent="0.3">
      <c r="A105" s="11" t="s">
        <v>145</v>
      </c>
      <c r="B105" s="12">
        <v>-1093</v>
      </c>
      <c r="C105" s="12">
        <v>-364</v>
      </c>
      <c r="D105" s="32"/>
    </row>
    <row r="106" spans="1:5" x14ac:dyDescent="0.3">
      <c r="A106" s="11" t="s">
        <v>146</v>
      </c>
      <c r="B106" s="12">
        <f>B88+B95+B104+B105</f>
        <v>17776</v>
      </c>
      <c r="C106" s="12">
        <f>C88+C95+C104+C105</f>
        <v>-5900</v>
      </c>
      <c r="D106" s="32"/>
    </row>
    <row r="107" spans="1:5" ht="15" thickBot="1" x14ac:dyDescent="0.35">
      <c r="A107" s="13" t="s">
        <v>147</v>
      </c>
      <c r="B107" s="14">
        <f>B74+B106</f>
        <v>54253</v>
      </c>
      <c r="C107" s="14">
        <f>C74+C106</f>
        <v>36477</v>
      </c>
      <c r="D107" s="32"/>
    </row>
    <row r="108" spans="1:5" ht="15" thickTop="1" x14ac:dyDescent="0.3">
      <c r="B108" s="10"/>
      <c r="C108" s="10"/>
      <c r="D108" s="31"/>
    </row>
    <row r="109" spans="1:5" x14ac:dyDescent="0.3">
      <c r="A109" s="29" t="s">
        <v>148</v>
      </c>
      <c r="B109" s="10"/>
      <c r="C109" s="10"/>
      <c r="D109" s="10"/>
    </row>
    <row r="110" spans="1:5" x14ac:dyDescent="0.3">
      <c r="A110" s="47" t="s">
        <v>149</v>
      </c>
      <c r="B110" s="10">
        <v>1561</v>
      </c>
      <c r="C110" s="10">
        <v>1098</v>
      </c>
      <c r="D110" s="10"/>
    </row>
    <row r="111" spans="1:5" x14ac:dyDescent="0.3">
      <c r="A111" s="47" t="s">
        <v>150</v>
      </c>
      <c r="B111" s="10">
        <v>8633</v>
      </c>
      <c r="C111" s="10">
        <v>6722</v>
      </c>
      <c r="D111" s="10"/>
    </row>
    <row r="112" spans="1:5" x14ac:dyDescent="0.3">
      <c r="A112" s="1" t="s">
        <v>151</v>
      </c>
      <c r="B112">
        <v>374</v>
      </c>
      <c r="C112">
        <v>521</v>
      </c>
    </row>
    <row r="113" spans="1:3" x14ac:dyDescent="0.3">
      <c r="A113" s="1" t="s">
        <v>152</v>
      </c>
      <c r="B113" s="10">
        <v>207</v>
      </c>
      <c r="C113" s="10">
        <v>153</v>
      </c>
    </row>
    <row r="114" spans="1:3" x14ac:dyDescent="0.3">
      <c r="A114" s="1" t="s">
        <v>153</v>
      </c>
      <c r="B114" s="10">
        <v>6035</v>
      </c>
      <c r="C114" s="10">
        <v>3688</v>
      </c>
    </row>
  </sheetData>
  <mergeCells count="6">
    <mergeCell ref="B72:C72"/>
    <mergeCell ref="B3:C3"/>
    <mergeCell ref="A2:C2"/>
    <mergeCell ref="A32:C32"/>
    <mergeCell ref="B33:C33"/>
    <mergeCell ref="A71:C7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tabSelected="1" workbookViewId="0"/>
  </sheetViews>
  <sheetFormatPr defaultRowHeight="14.4" x14ac:dyDescent="0.3"/>
  <cols>
    <col min="1" max="1" width="4.6640625" customWidth="1"/>
    <col min="2" max="2" width="35.33203125" customWidth="1"/>
    <col min="3" max="3" width="23.5546875" customWidth="1"/>
    <col min="4" max="4" width="17.6640625" customWidth="1"/>
    <col min="5" max="5" width="10.44140625" customWidth="1"/>
  </cols>
  <sheetData>
    <row r="1" spans="1:10" ht="60" customHeight="1" x14ac:dyDescent="0.5">
      <c r="A1" s="7"/>
      <c r="B1" s="20" t="s">
        <v>56</v>
      </c>
      <c r="C1" s="21"/>
      <c r="D1" s="21"/>
      <c r="E1" s="21"/>
      <c r="F1" s="21"/>
      <c r="G1" s="21"/>
      <c r="H1" s="21"/>
      <c r="I1" s="21"/>
      <c r="J1" s="21"/>
    </row>
    <row r="2" spans="1:10" x14ac:dyDescent="0.3">
      <c r="C2" s="49" t="s">
        <v>154</v>
      </c>
      <c r="D2" s="49"/>
      <c r="E2" s="26"/>
    </row>
    <row r="3" spans="1:10" x14ac:dyDescent="0.3">
      <c r="C3" s="24">
        <v>2022</v>
      </c>
      <c r="D3" s="24">
        <v>2021</v>
      </c>
      <c r="E3" s="9"/>
    </row>
    <row r="4" spans="1:10" x14ac:dyDescent="0.3">
      <c r="A4" s="22">
        <v>1</v>
      </c>
      <c r="B4" s="9" t="s">
        <v>14</v>
      </c>
      <c r="C4" s="39"/>
      <c r="D4" s="39"/>
    </row>
    <row r="5" spans="1:10" x14ac:dyDescent="0.3">
      <c r="A5" s="22">
        <f>+A4+0.1</f>
        <v>1.1000000000000001</v>
      </c>
      <c r="B5" s="1" t="s">
        <v>15</v>
      </c>
      <c r="C5" s="39">
        <f>'Financial Statements'!B40/'Financial Statements'!B53</f>
        <v>0.9446435811136924</v>
      </c>
      <c r="D5" s="39">
        <f>'Financial Statements'!C40/'Financial Statements'!C53</f>
        <v>1.1357597739445826</v>
      </c>
    </row>
    <row r="6" spans="1:10" x14ac:dyDescent="0.3">
      <c r="A6" s="22">
        <f t="shared" ref="A6:A13" si="0">+A5+0.1</f>
        <v>1.2000000000000002</v>
      </c>
      <c r="B6" s="1" t="s">
        <v>16</v>
      </c>
      <c r="C6" s="39">
        <f>('Financial Statements'!B40-'Financial Statements'!B38)/'Financial Statements'!B53</f>
        <v>0.72323721145740161</v>
      </c>
      <c r="D6" s="39">
        <f>('Financial Statements'!C40-'Financial Statements'!C38)/'Financial Statements'!C53</f>
        <v>0.90633039517523517</v>
      </c>
    </row>
    <row r="7" spans="1:10" x14ac:dyDescent="0.3">
      <c r="A7" s="22">
        <f t="shared" si="0"/>
        <v>1.3000000000000003</v>
      </c>
      <c r="B7" s="1" t="s">
        <v>17</v>
      </c>
      <c r="C7" s="39">
        <f>'Financial Statements'!B36/'Financial Statements'!B53</f>
        <v>0.34678524772673158</v>
      </c>
      <c r="D7" s="39">
        <f>'Financial Statements'!C36/'Financial Statements'!C53</f>
        <v>0.25459350793583851</v>
      </c>
    </row>
    <row r="8" spans="1:10" x14ac:dyDescent="0.3">
      <c r="A8" s="22">
        <f t="shared" si="0"/>
        <v>1.4000000000000004</v>
      </c>
      <c r="B8" s="1" t="s">
        <v>18</v>
      </c>
      <c r="C8" s="39">
        <f>'Financial Statements'!B40/(('Financial Statements'!B12+'Financial Statements'!B17-(SUM('Financial Statements'!B78:B81)))/365)</f>
        <v>124.20449724717474</v>
      </c>
      <c r="D8" s="39">
        <f>'Financial Statements'!C40/(('Financial Statements'!C12+'Financial Statements'!C17-(SUM('Financial Statements'!C78:C81)))/365)</f>
        <v>143.01923762455471</v>
      </c>
      <c r="E8" s="54" t="s">
        <v>173</v>
      </c>
    </row>
    <row r="9" spans="1:10" x14ac:dyDescent="0.3">
      <c r="A9" s="22">
        <f t="shared" si="0"/>
        <v>1.5000000000000004</v>
      </c>
      <c r="B9" s="1" t="s">
        <v>19</v>
      </c>
      <c r="C9" s="39">
        <f>365/('Financial Statements'!B12/'Financial Statements'!B38)</f>
        <v>28.134920901638427</v>
      </c>
      <c r="D9" s="39">
        <f>365/('Financial Statements'!C12/'Financial Statements'!C38)</f>
        <v>29.525138349520578</v>
      </c>
      <c r="E9" s="54" t="s">
        <v>173</v>
      </c>
    </row>
    <row r="10" spans="1:10" x14ac:dyDescent="0.3">
      <c r="A10" s="22">
        <f t="shared" si="0"/>
        <v>1.6000000000000005</v>
      </c>
      <c r="B10" s="1" t="s">
        <v>20</v>
      </c>
      <c r="C10" s="39">
        <f>('Financial Statements'!B50/'Financial Statements'!B12)*365</f>
        <v>65.093437110025249</v>
      </c>
      <c r="D10" s="39">
        <f>('Financial Statements'!C50/'Financial Statements'!C12)*365</f>
        <v>71.157030733048003</v>
      </c>
      <c r="E10" s="54" t="s">
        <v>173</v>
      </c>
    </row>
    <row r="11" spans="1:10" x14ac:dyDescent="0.3">
      <c r="A11" s="22">
        <f t="shared" si="0"/>
        <v>1.7000000000000006</v>
      </c>
      <c r="B11" s="1" t="s">
        <v>21</v>
      </c>
      <c r="C11" s="39">
        <f>('Financial Statements'!B39/'Financial Statements'!B8)*365</f>
        <v>30.081539661817608</v>
      </c>
      <c r="D11" s="39">
        <f>('Financial Statements'!C39/'Financial Statements'!C8)*365</f>
        <v>25.552688039299991</v>
      </c>
      <c r="E11" s="54" t="s">
        <v>173</v>
      </c>
    </row>
    <row r="12" spans="1:10" x14ac:dyDescent="0.3">
      <c r="A12" s="22">
        <f t="shared" si="0"/>
        <v>1.8000000000000007</v>
      </c>
      <c r="B12" s="1" t="s">
        <v>22</v>
      </c>
      <c r="C12" s="39">
        <f>C9+(('Financial Statements'!B39/'Financial Statements'!B8)*365)-'List of Ratios'!C10</f>
        <v>-6.8769765465692103</v>
      </c>
      <c r="D12" s="39">
        <f>D9+(('Financial Statements'!C39/'Financial Statements'!C8)*365)-'List of Ratios'!D10</f>
        <v>-16.079204344227435</v>
      </c>
      <c r="E12" s="54" t="s">
        <v>173</v>
      </c>
    </row>
    <row r="13" spans="1:10" x14ac:dyDescent="0.3">
      <c r="A13" s="22">
        <f t="shared" si="0"/>
        <v>1.9000000000000008</v>
      </c>
      <c r="B13" s="1" t="s">
        <v>23</v>
      </c>
      <c r="C13" s="48">
        <f>C14/'Financial Statements'!B8</f>
        <v>-1.6735962084349094E-2</v>
      </c>
      <c r="D13" s="48">
        <f>D14/'Financial Statements'!C8</f>
        <v>4.1109186032156859E-2</v>
      </c>
    </row>
    <row r="14" spans="1:10" x14ac:dyDescent="0.3">
      <c r="A14" s="22"/>
      <c r="B14" s="19" t="s">
        <v>24</v>
      </c>
      <c r="C14" s="10">
        <f>'Financial Statements'!B40-'Financial Statements'!B53</f>
        <v>-8602</v>
      </c>
      <c r="D14" s="10">
        <f>'Financial Statements'!C40-'Financial Statements'!C53</f>
        <v>19314</v>
      </c>
      <c r="E14" s="54" t="s">
        <v>174</v>
      </c>
    </row>
    <row r="15" spans="1:10" x14ac:dyDescent="0.3">
      <c r="A15" s="22"/>
    </row>
    <row r="16" spans="1:10" x14ac:dyDescent="0.3">
      <c r="A16" s="22">
        <f>+A4+1</f>
        <v>2</v>
      </c>
      <c r="B16" s="23" t="s">
        <v>25</v>
      </c>
    </row>
    <row r="17" spans="1:5" x14ac:dyDescent="0.3">
      <c r="A17" s="22">
        <f>+A16+0.1</f>
        <v>2.1</v>
      </c>
      <c r="B17" s="1" t="s">
        <v>11</v>
      </c>
      <c r="C17" s="48">
        <f>'Financial Statements'!B13/'Financial Statements'!B8</f>
        <v>0.13159968325800658</v>
      </c>
      <c r="D17" s="48">
        <f>'Financial Statements'!C13/'Financial Statements'!C8</f>
        <v>0.14114920118683247</v>
      </c>
    </row>
    <row r="18" spans="1:5" x14ac:dyDescent="0.3">
      <c r="A18" s="22">
        <f>+A17+0.1</f>
        <v>2.2000000000000002</v>
      </c>
      <c r="B18" s="1" t="s">
        <v>26</v>
      </c>
      <c r="C18" s="48">
        <f>C19/'Financial Statements'!B8</f>
        <v>0.10539064521589235</v>
      </c>
      <c r="D18" s="48">
        <f>D19/'Financial Statements'!C8</f>
        <v>0.12624355607017126</v>
      </c>
    </row>
    <row r="19" spans="1:5" x14ac:dyDescent="0.3">
      <c r="A19" s="22"/>
      <c r="B19" s="19" t="s">
        <v>27</v>
      </c>
      <c r="C19" s="10">
        <f>'Financial Statements'!B18+'Financial Statements'!B78</f>
        <v>54169</v>
      </c>
      <c r="D19" s="10">
        <f>'Financial Statements'!C18+'Financial Statements'!C78</f>
        <v>59312</v>
      </c>
      <c r="E19" s="54" t="s">
        <v>174</v>
      </c>
    </row>
    <row r="20" spans="1:5" x14ac:dyDescent="0.3">
      <c r="A20" s="22">
        <f>+A18+0.1</f>
        <v>2.3000000000000003</v>
      </c>
      <c r="B20" s="1" t="s">
        <v>28</v>
      </c>
      <c r="C20" s="48">
        <f>C21/'Financial Statements'!B8</f>
        <v>2.3829581912242232E-2</v>
      </c>
      <c r="D20" s="48">
        <f>D21/'Financial Statements'!C8</f>
        <v>5.2954097509269465E-2</v>
      </c>
    </row>
    <row r="21" spans="1:5" x14ac:dyDescent="0.3">
      <c r="A21" s="22"/>
      <c r="B21" s="19" t="s">
        <v>29</v>
      </c>
      <c r="C21" s="10">
        <f>'Financial Statements'!B18</f>
        <v>12248</v>
      </c>
      <c r="D21" s="10">
        <f>'Financial Statements'!C18</f>
        <v>24879</v>
      </c>
      <c r="E21" s="54" t="s">
        <v>174</v>
      </c>
    </row>
    <row r="22" spans="1:5" x14ac:dyDescent="0.3">
      <c r="A22" s="22">
        <f>+A20+0.1</f>
        <v>2.4000000000000004</v>
      </c>
      <c r="B22" s="1" t="s">
        <v>30</v>
      </c>
      <c r="C22" s="48">
        <f>'Financial Statements'!B23/'Financial Statements'!B8</f>
        <v>-5.2958950004183018E-3</v>
      </c>
      <c r="D22" s="48">
        <f>'Financial Statements'!C23/'Financial Statements'!C8</f>
        <v>7.1014128755145567E-2</v>
      </c>
    </row>
    <row r="23" spans="1:5" x14ac:dyDescent="0.3">
      <c r="A23" s="22"/>
    </row>
    <row r="24" spans="1:5" x14ac:dyDescent="0.3">
      <c r="A24" s="22">
        <f>+A16+1</f>
        <v>3</v>
      </c>
      <c r="B24" s="9" t="s">
        <v>31</v>
      </c>
    </row>
    <row r="25" spans="1:5" x14ac:dyDescent="0.3">
      <c r="A25" s="22">
        <f>+A24+0.1</f>
        <v>3.1</v>
      </c>
      <c r="B25" s="1" t="s">
        <v>32</v>
      </c>
      <c r="C25" s="39">
        <f>'Financial Statements'!B56/'Financial Statements'!B68</f>
        <v>0.45979608745369516</v>
      </c>
      <c r="D25" s="39">
        <f>'Financial Statements'!C56/'Financial Statements'!C68</f>
        <v>0.35259141379435061</v>
      </c>
    </row>
    <row r="26" spans="1:5" x14ac:dyDescent="0.3">
      <c r="A26" s="22">
        <f t="shared" ref="A26:A30" si="1">+A25+0.1</f>
        <v>3.2</v>
      </c>
      <c r="B26" s="1" t="s">
        <v>33</v>
      </c>
      <c r="C26" s="39">
        <f>'Financial Statements'!B56/'Financial Statements'!B47</f>
        <v>0.14513427351812827</v>
      </c>
      <c r="D26" s="39">
        <f>'Financial Statements'!C56/'Financial Statements'!C47</f>
        <v>0.11590563763081116</v>
      </c>
    </row>
    <row r="27" spans="1:5" x14ac:dyDescent="0.3">
      <c r="A27" s="22">
        <f t="shared" si="1"/>
        <v>3.3000000000000003</v>
      </c>
      <c r="B27" s="1" t="s">
        <v>34</v>
      </c>
      <c r="C27" s="39">
        <f>'Financial Statements'!B56/('Financial Statements'!B56+'Financial Statements'!B68)</f>
        <v>0.31497281805687805</v>
      </c>
      <c r="D27" s="39">
        <f>'Financial Statements'!C56/('Financial Statements'!C56+'Financial Statements'!C68)</f>
        <v>0.26067843562990334</v>
      </c>
    </row>
    <row r="28" spans="1:5" x14ac:dyDescent="0.3">
      <c r="A28" s="22">
        <f t="shared" si="1"/>
        <v>3.4000000000000004</v>
      </c>
      <c r="B28" s="1" t="s">
        <v>35</v>
      </c>
      <c r="C28" s="39">
        <f>'Financial Statements'!B18/('Financial Statements'!B110+'Financial Statements'!B112+'Financial Statements'!B113)</f>
        <v>5.7180205415499534</v>
      </c>
      <c r="D28" s="39">
        <f>'Financial Statements'!C18/('Financial Statements'!C110+'Financial Statements'!C112+'Financial Statements'!C113)</f>
        <v>14.040067720090294</v>
      </c>
    </row>
    <row r="29" spans="1:5" x14ac:dyDescent="0.3">
      <c r="A29" s="22">
        <f t="shared" si="1"/>
        <v>3.5000000000000004</v>
      </c>
      <c r="B29" s="1" t="s">
        <v>36</v>
      </c>
      <c r="C29" s="39">
        <f>C19/('Financial Statements'!B110+'Financial Statements'!B112+'Financial Statements'!B113-'Financial Statements'!B99-'Financial Statements'!B101)</f>
        <v>1.3226791033842848</v>
      </c>
      <c r="D29" s="39">
        <f>D19/('Financial Statements'!C110+'Financial Statements'!C112+'Financial Statements'!C113-'Financial Statements'!C99-'Financial Statements'!C101)</f>
        <v>5.3362123256860103</v>
      </c>
    </row>
    <row r="30" spans="1:5" x14ac:dyDescent="0.3">
      <c r="A30" s="22">
        <f t="shared" si="1"/>
        <v>3.6000000000000005</v>
      </c>
      <c r="B30" s="1" t="s">
        <v>37</v>
      </c>
      <c r="C30" s="51">
        <f>C31/'Financial Statements'!B29</f>
        <v>2.0485818039061732</v>
      </c>
    </row>
    <row r="31" spans="1:5" x14ac:dyDescent="0.3">
      <c r="A31" s="22"/>
      <c r="B31" s="19" t="s">
        <v>38</v>
      </c>
      <c r="C31" s="10">
        <f>'Financial Statements'!B23+'Financial Statements'!B78-(('Financial Statements'!B39-'Financial Statements'!C39)+('Financial Statements'!B38-'Financial Statements'!C38)-('Financial Statements'!B50-'Financial Statements'!C50))-('Financial Statements'!B42-'Financial Statements'!C42)+('Financial Statements'!B56-'Financial Statements'!C56)</f>
        <v>20873</v>
      </c>
      <c r="E31" s="54" t="s">
        <v>174</v>
      </c>
    </row>
    <row r="32" spans="1:5" x14ac:dyDescent="0.3">
      <c r="A32" s="22"/>
    </row>
    <row r="33" spans="1:4" x14ac:dyDescent="0.3">
      <c r="A33" s="22">
        <f>+A24+1</f>
        <v>4</v>
      </c>
      <c r="B33" s="23" t="s">
        <v>39</v>
      </c>
    </row>
    <row r="34" spans="1:4" x14ac:dyDescent="0.3">
      <c r="A34" s="22">
        <f>+A33+0.1</f>
        <v>4.0999999999999996</v>
      </c>
      <c r="B34" s="1" t="s">
        <v>40</v>
      </c>
      <c r="C34" s="39">
        <f>'Financial Statements'!B8/'Financial Statements'!B47</f>
        <v>1.1108942562273734</v>
      </c>
      <c r="D34" s="39">
        <f>'Financial Statements'!C8/'Financial Statements'!C47</f>
        <v>1.1171635172120253</v>
      </c>
    </row>
    <row r="35" spans="1:4" x14ac:dyDescent="0.3">
      <c r="A35" s="22">
        <f t="shared" ref="A35:A37" si="2">+A34+0.1</f>
        <v>4.1999999999999993</v>
      </c>
      <c r="B35" s="1" t="s">
        <v>41</v>
      </c>
      <c r="C35" s="39">
        <f>'Financial Statements'!B8/'Financial Statements'!B42</f>
        <v>2.7527675869640897</v>
      </c>
      <c r="D35" s="39">
        <f>'Financial Statements'!C8/'Financial Statements'!C42</f>
        <v>2.9312395106094922</v>
      </c>
    </row>
    <row r="36" spans="1:4" x14ac:dyDescent="0.3">
      <c r="A36" s="22">
        <f t="shared" si="2"/>
        <v>4.2999999999999989</v>
      </c>
      <c r="B36" s="1" t="s">
        <v>42</v>
      </c>
      <c r="C36" s="39">
        <f>'Financial Statements'!B12/'Financial Statements'!B38</f>
        <v>12.973201569539311</v>
      </c>
      <c r="D36" s="39">
        <f>'Financial Statements'!C12/'Financial Statements'!C38</f>
        <v>12.362346813725491</v>
      </c>
    </row>
    <row r="37" spans="1:4" x14ac:dyDescent="0.3">
      <c r="A37" s="22">
        <f t="shared" si="2"/>
        <v>4.3999999999999986</v>
      </c>
      <c r="B37" s="1" t="s">
        <v>43</v>
      </c>
      <c r="C37" s="48">
        <f>'Financial Statements'!B23/'Financial Statements'!B47</f>
        <v>-5.8831793375479545E-3</v>
      </c>
      <c r="D37" s="48">
        <f>'Financial Statements'!C23/'Financial Statements'!C47</f>
        <v>7.9334393851846041E-2</v>
      </c>
    </row>
    <row r="38" spans="1:4" x14ac:dyDescent="0.3">
      <c r="A38" s="22"/>
    </row>
    <row r="39" spans="1:4" x14ac:dyDescent="0.3">
      <c r="A39" s="22">
        <f>+A33+1</f>
        <v>5</v>
      </c>
      <c r="B39" s="23" t="s">
        <v>44</v>
      </c>
    </row>
    <row r="40" spans="1:4" x14ac:dyDescent="0.3">
      <c r="A40" s="22">
        <f>+A39+0.1</f>
        <v>5.0999999999999996</v>
      </c>
      <c r="B40" s="1" t="s">
        <v>45</v>
      </c>
      <c r="C40" s="39">
        <f>'Financial Statements'!B30/C41</f>
        <v>-314.42909625275536</v>
      </c>
      <c r="D40" s="39">
        <f>'Financial Statements'!C30/D41</f>
        <v>51.449140390840427</v>
      </c>
    </row>
    <row r="41" spans="1:4" x14ac:dyDescent="0.3">
      <c r="A41" s="22">
        <f t="shared" ref="A41:A44" si="3">+A40+0.1</f>
        <v>5.1999999999999993</v>
      </c>
      <c r="B41" s="19" t="s">
        <v>46</v>
      </c>
      <c r="C41" s="39">
        <f>('Financial Statements'!B23*1000000)/('Financial Statements'!B29*1000000)</f>
        <v>-0.2671508489547551</v>
      </c>
      <c r="D41" s="39">
        <f>('Financial Statements'!C23*1000000)/('Financial Statements'!C29*1000000)</f>
        <v>3.2404817404817403</v>
      </c>
    </row>
    <row r="42" spans="1:4" x14ac:dyDescent="0.3">
      <c r="A42" s="22">
        <f t="shared" si="3"/>
        <v>5.2999999999999989</v>
      </c>
      <c r="B42" s="1" t="s">
        <v>47</v>
      </c>
      <c r="C42" s="39">
        <f>'Financial Statements'!B30/'List of Ratios'!C43</f>
        <v>5.8604383640434667</v>
      </c>
      <c r="D42" s="39">
        <f>'Financial Statements'!C30/'List of Ratios'!D43</f>
        <v>12.416717566638939</v>
      </c>
    </row>
    <row r="43" spans="1:4" x14ac:dyDescent="0.3">
      <c r="A43" s="22">
        <f t="shared" si="3"/>
        <v>5.3999999999999986</v>
      </c>
      <c r="B43" s="19" t="s">
        <v>48</v>
      </c>
      <c r="C43" s="39">
        <f>('Financial Statements'!B68)/('Financial Statements'!B29)</f>
        <v>14.333398763372264</v>
      </c>
      <c r="D43" s="39">
        <f>'Financial Statements'!C68/'Financial Statements'!C29</f>
        <v>13.427059052059052</v>
      </c>
    </row>
    <row r="44" spans="1:4" x14ac:dyDescent="0.3">
      <c r="A44" s="22">
        <f t="shared" si="3"/>
        <v>5.4999999999999982</v>
      </c>
      <c r="B44" s="1" t="s">
        <v>49</v>
      </c>
      <c r="C44">
        <f>C45/C41</f>
        <v>0</v>
      </c>
      <c r="D44">
        <f>D45/D41</f>
        <v>0</v>
      </c>
    </row>
    <row r="45" spans="1:4" x14ac:dyDescent="0.3">
      <c r="A45" s="22"/>
      <c r="B45" s="19" t="s">
        <v>50</v>
      </c>
      <c r="C45">
        <v>0</v>
      </c>
      <c r="D45">
        <v>0</v>
      </c>
    </row>
    <row r="46" spans="1:4" x14ac:dyDescent="0.3">
      <c r="A46" s="22">
        <f>+A44+0.1</f>
        <v>5.5999999999999979</v>
      </c>
      <c r="B46" s="1" t="s">
        <v>51</v>
      </c>
      <c r="C46">
        <f>C45/'Financial Statements'!B30</f>
        <v>0</v>
      </c>
      <c r="D46">
        <f>D45/'Financial Statements'!C30</f>
        <v>0</v>
      </c>
    </row>
    <row r="47" spans="1:4" x14ac:dyDescent="0.3">
      <c r="A47" s="22">
        <f t="shared" ref="A47:A50" si="4">+A45+0.1</f>
        <v>0.1</v>
      </c>
      <c r="B47" s="1" t="s">
        <v>52</v>
      </c>
      <c r="C47" s="48">
        <f>'Financial Statements'!B23/'Financial Statements'!B68</f>
        <v>-1.8638346240490815E-2</v>
      </c>
      <c r="D47" s="48">
        <f>'Financial Statements'!C23/'Financial Statements'!C68</f>
        <v>0.2413396506202756</v>
      </c>
    </row>
    <row r="48" spans="1:4" x14ac:dyDescent="0.3">
      <c r="A48" s="22">
        <f t="shared" si="4"/>
        <v>5.6999999999999975</v>
      </c>
      <c r="B48" s="1" t="s">
        <v>53</v>
      </c>
      <c r="C48" s="48">
        <f>C21/('Financial Statements'!B47-'Financial Statements'!B53)</f>
        <v>3.985915217943127E-2</v>
      </c>
      <c r="D48" s="48">
        <f>D21/('Financial Statements'!C47-'Financial Statements'!C53)</f>
        <v>8.9401796013410806E-2</v>
      </c>
    </row>
    <row r="49" spans="1:4" x14ac:dyDescent="0.3">
      <c r="A49" s="22">
        <f t="shared" si="4"/>
        <v>0.2</v>
      </c>
      <c r="B49" s="1" t="s">
        <v>43</v>
      </c>
      <c r="C49" s="48">
        <f>'Financial Statements'!B23/'Financial Statements'!B47</f>
        <v>-5.8831793375479545E-3</v>
      </c>
      <c r="D49" s="48">
        <f>'Financial Statements'!C23/'Financial Statements'!C47</f>
        <v>7.9334393851846041E-2</v>
      </c>
    </row>
    <row r="50" spans="1:4" x14ac:dyDescent="0.3">
      <c r="A50" s="22">
        <f t="shared" si="4"/>
        <v>5.7999999999999972</v>
      </c>
      <c r="B50" s="1" t="s">
        <v>54</v>
      </c>
      <c r="C50" s="52">
        <f>C51/(C19*1000000)</f>
        <v>16.044933449020657</v>
      </c>
      <c r="D50" s="52">
        <f>D51/(D19*1000000)</f>
        <v>29.152163474507688</v>
      </c>
    </row>
    <row r="51" spans="1:4" x14ac:dyDescent="0.3">
      <c r="A51" s="22"/>
      <c r="B51" s="19" t="s">
        <v>55</v>
      </c>
      <c r="C51" s="53">
        <f>('Financial Statements'!B30*'Financial Statements'!B29*1000000)+('Financial Statements'!B56*1000000)-('Financial Statements'!B36*1000000)</f>
        <v>869138000000</v>
      </c>
      <c r="D51" s="53">
        <f>('Financial Statements'!C30*'Financial Statements'!C29*1000000)+('Financial Statements'!C56*1000000)-('Financial Statements'!C36*1000000)</f>
        <v>1729073120000</v>
      </c>
    </row>
    <row r="54" spans="1:4" x14ac:dyDescent="0.3">
      <c r="C54" s="25" t="s">
        <v>84</v>
      </c>
      <c r="D54" s="25"/>
    </row>
    <row r="55" spans="1:4" x14ac:dyDescent="0.3">
      <c r="B55" s="9" t="s">
        <v>156</v>
      </c>
      <c r="C55" s="25">
        <v>2022</v>
      </c>
    </row>
    <row r="56" spans="1:4" x14ac:dyDescent="0.3">
      <c r="A56">
        <v>1</v>
      </c>
      <c r="B56" t="s">
        <v>157</v>
      </c>
      <c r="C56" s="48">
        <f>('Financial Statements'!B6-'Financial Statements'!C6)/'Financial Statements'!C6</f>
        <v>4.6073610243726913E-3</v>
      </c>
    </row>
    <row r="57" spans="1:4" x14ac:dyDescent="0.3">
      <c r="A57">
        <v>2</v>
      </c>
      <c r="B57" t="s">
        <v>158</v>
      </c>
      <c r="C57" s="48">
        <f>('Financial Statements'!B7-'Financial Statements'!C7)/'Financial Statements'!C7</f>
        <v>0.18877365316727696</v>
      </c>
    </row>
    <row r="58" spans="1:4" x14ac:dyDescent="0.3">
      <c r="A58">
        <v>3</v>
      </c>
      <c r="B58" t="s">
        <v>159</v>
      </c>
      <c r="C58" s="48">
        <f>('Financial Statements'!B8-'Financial Statements'!C8)/'Financial Statements'!C8</f>
        <v>9.3995172639850841E-2</v>
      </c>
    </row>
    <row r="59" spans="1:4" x14ac:dyDescent="0.3">
      <c r="A59">
        <v>4</v>
      </c>
      <c r="B59" t="s">
        <v>160</v>
      </c>
      <c r="C59" s="48">
        <f>('Financial Statements'!B13-'Financial Statements'!C13)/'Financial Statements'!C13</f>
        <v>1.9980396592022921E-2</v>
      </c>
    </row>
    <row r="60" spans="1:4" x14ac:dyDescent="0.3">
      <c r="A60">
        <v>5</v>
      </c>
      <c r="B60" s="34" t="s">
        <v>65</v>
      </c>
      <c r="C60" s="48">
        <f>('Financial Statements'!B10-'Financial Statements'!C10)/'Financial Statements'!C10</f>
        <v>0.12232562474204843</v>
      </c>
    </row>
    <row r="61" spans="1:4" x14ac:dyDescent="0.3">
      <c r="A61">
        <v>6</v>
      </c>
      <c r="B61" s="34" t="s">
        <v>66</v>
      </c>
      <c r="C61" s="48">
        <f>('Financial Statements'!B11-'Financial Statements'!C11)/'Financial Statements'!C11</f>
        <v>0.3061621351602084</v>
      </c>
    </row>
    <row r="62" spans="1:4" x14ac:dyDescent="0.3">
      <c r="A62">
        <v>7</v>
      </c>
      <c r="B62" t="s">
        <v>161</v>
      </c>
      <c r="C62" s="48">
        <f>('Financial Statements'!B15-'Financial Statements'!C15)/'Financial Statements'!C15</f>
        <v>0.30828539662590032</v>
      </c>
    </row>
    <row r="64" spans="1:4" x14ac:dyDescent="0.3">
      <c r="C64" s="49" t="s">
        <v>84</v>
      </c>
      <c r="D64" s="49"/>
    </row>
    <row r="65" spans="1:4" x14ac:dyDescent="0.3">
      <c r="C65" s="25">
        <v>2022</v>
      </c>
      <c r="D65" s="25">
        <v>2021</v>
      </c>
    </row>
    <row r="66" spans="1:4" x14ac:dyDescent="0.3">
      <c r="B66" s="9" t="s">
        <v>162</v>
      </c>
    </row>
    <row r="67" spans="1:4" x14ac:dyDescent="0.3">
      <c r="A67">
        <v>7</v>
      </c>
      <c r="B67" t="s">
        <v>163</v>
      </c>
      <c r="C67" s="48">
        <f>'Financial Statements'!B12/'Financial Statements'!B8</f>
        <v>0.86840031674199336</v>
      </c>
      <c r="D67" s="48">
        <f>'Financial Statements'!C12/'Financial Statements'!C8</f>
        <v>0.8588507988131675</v>
      </c>
    </row>
    <row r="68" spans="1:4" x14ac:dyDescent="0.3">
      <c r="A68">
        <v>8</v>
      </c>
      <c r="B68" t="s">
        <v>164</v>
      </c>
      <c r="C68" s="48">
        <f>'Financial Statements'!B13/'Financial Statements'!B8</f>
        <v>0.13159968325800658</v>
      </c>
      <c r="D68" s="48">
        <f>'Financial Statements'!C13/'Financial Statements'!C8</f>
        <v>0.14114920118683247</v>
      </c>
    </row>
    <row r="69" spans="1:4" x14ac:dyDescent="0.3">
      <c r="A69">
        <v>9</v>
      </c>
      <c r="B69" t="s">
        <v>172</v>
      </c>
      <c r="C69" s="48">
        <f>'Financial Statements'!B11/'Financial Statements'!B8</f>
        <v>0.14244245432241923</v>
      </c>
      <c r="D69" s="48">
        <f>'Financial Statements'!C11/'Financial Statements'!C8</f>
        <v>0.11930475797216818</v>
      </c>
    </row>
    <row r="70" spans="1:4" x14ac:dyDescent="0.3">
      <c r="A70">
        <v>10</v>
      </c>
      <c r="B70" t="s">
        <v>165</v>
      </c>
      <c r="C70" s="48">
        <f>'Financial Statements'!B15/'Financial Statements'!B8</f>
        <v>0.10531282163028738</v>
      </c>
      <c r="D70" s="48">
        <f>'Financial Statements'!C15/'Financial Statements'!C8</f>
        <v>8.8063138805760485E-2</v>
      </c>
    </row>
    <row r="71" spans="1:4" x14ac:dyDescent="0.3">
      <c r="A71">
        <v>11</v>
      </c>
      <c r="B71" t="s">
        <v>166</v>
      </c>
      <c r="C71" s="48">
        <f>'Financial Statements'!B18/'Financial Statements'!B8</f>
        <v>2.3829581912242232E-2</v>
      </c>
      <c r="D71" s="48">
        <f>'Financial Statements'!C18/'Financial Statements'!C8</f>
        <v>5.2954097509269465E-2</v>
      </c>
    </row>
    <row r="72" spans="1:4" x14ac:dyDescent="0.3">
      <c r="A72">
        <v>12</v>
      </c>
      <c r="B72" t="s">
        <v>167</v>
      </c>
      <c r="C72" s="48">
        <f>'Financial Statements'!B23/'Financial Statements'!B8</f>
        <v>-5.2958950004183018E-3</v>
      </c>
      <c r="D72" s="48">
        <f>'Financial Statements'!C23/'Financial Statements'!C8</f>
        <v>7.1014128755145567E-2</v>
      </c>
    </row>
    <row r="74" spans="1:4" x14ac:dyDescent="0.3">
      <c r="C74" s="49" t="s">
        <v>84</v>
      </c>
      <c r="D74" s="49"/>
    </row>
    <row r="75" spans="1:4" x14ac:dyDescent="0.3">
      <c r="B75" s="9" t="s">
        <v>168</v>
      </c>
      <c r="C75" s="25">
        <v>2022</v>
      </c>
      <c r="D75" s="25">
        <v>2021</v>
      </c>
    </row>
    <row r="76" spans="1:4" x14ac:dyDescent="0.3">
      <c r="A76">
        <v>13</v>
      </c>
      <c r="B76" t="s">
        <v>169</v>
      </c>
      <c r="C76" s="48">
        <f>'Financial Statements'!B21/'Financial Statements'!B20</f>
        <v>-0.54194743935309975</v>
      </c>
      <c r="D76" s="48">
        <f>'Financial Statements'!C21/'Financial Statements'!C20</f>
        <v>-0.12557993237398757</v>
      </c>
    </row>
    <row r="77" spans="1:4" x14ac:dyDescent="0.3">
      <c r="A77">
        <v>14</v>
      </c>
      <c r="B77" t="s">
        <v>170</v>
      </c>
      <c r="C77" s="48">
        <f>('Financial Statements'!B42-'Financial Statements'!C42+'Financial Statements'!B78)/'Financial Statements'!B8</f>
        <v>0.13299077985069546</v>
      </c>
      <c r="D77" s="48"/>
    </row>
    <row r="78" spans="1:4" x14ac:dyDescent="0.3">
      <c r="A78">
        <v>15</v>
      </c>
      <c r="B78" t="s">
        <v>171</v>
      </c>
      <c r="C78" s="48">
        <f>('Financial Statements'!B42-'Financial Statements'!C42+'Financial Statements'!B78)/'Financial Statements'!B42</f>
        <v>0.36609270813807138</v>
      </c>
      <c r="D78" s="48"/>
    </row>
  </sheetData>
  <mergeCells count="3">
    <mergeCell ref="C2:D2"/>
    <mergeCell ref="C64:D64"/>
    <mergeCell ref="C74:D74"/>
  </mergeCells>
  <pageMargins left="0.7" right="0.7" top="0.75" bottom="0.75" header="0.3" footer="0.3"/>
  <pageSetup orientation="portrait" r:id="rId1"/>
  <ignoredErrors>
    <ignoredError sqref="C19:D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Jeevan Teja Araveti</cp:lastModifiedBy>
  <dcterms:created xsi:type="dcterms:W3CDTF">2020-05-19T16:15:53Z</dcterms:created>
  <dcterms:modified xsi:type="dcterms:W3CDTF">2024-10-16T20:14:50Z</dcterms:modified>
</cp:coreProperties>
</file>