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nvestment Analyst Program_Quill Capital Partners\"/>
    </mc:Choice>
  </mc:AlternateContent>
  <xr:revisionPtr revIDLastSave="0" documentId="13_ncr:1_{7F5B6C19-6B0D-41B3-86F6-0EE6250F8F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H33" i="3"/>
  <c r="C14" i="3"/>
  <c r="J35" i="3"/>
  <c r="I35" i="3"/>
  <c r="J34" i="3"/>
  <c r="I34" i="3"/>
  <c r="J32" i="3"/>
  <c r="I32" i="3"/>
  <c r="H35" i="3"/>
  <c r="H34" i="3"/>
  <c r="H32" i="3"/>
  <c r="E71" i="3"/>
  <c r="D71" i="3"/>
  <c r="C71" i="3"/>
  <c r="J58" i="3"/>
  <c r="I58" i="3"/>
  <c r="H5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93" i="3"/>
  <c r="D93" i="3"/>
  <c r="C93" i="3"/>
  <c r="A91" i="3"/>
  <c r="A93" i="3" s="1"/>
  <c r="B85" i="3"/>
  <c r="B84" i="3"/>
  <c r="A81" i="3"/>
  <c r="A82" i="3" s="1"/>
  <c r="A83" i="3" s="1"/>
  <c r="A86" i="3" s="1"/>
  <c r="A87" i="3" s="1"/>
  <c r="J57" i="3"/>
  <c r="I57" i="3"/>
  <c r="J56" i="3"/>
  <c r="I56" i="3"/>
  <c r="H57" i="3"/>
  <c r="H56" i="3"/>
  <c r="E50" i="3"/>
  <c r="E51" i="3" s="1"/>
  <c r="D50" i="3"/>
  <c r="D51" i="3" s="1"/>
  <c r="C50" i="3"/>
  <c r="C51" i="3" s="1"/>
  <c r="C46" i="3"/>
  <c r="C45" i="3" s="1"/>
  <c r="E46" i="3"/>
  <c r="E45" i="3" s="1"/>
  <c r="D46" i="3"/>
  <c r="D45" i="3" s="1"/>
  <c r="E69" i="3"/>
  <c r="D69" i="3"/>
  <c r="C69" i="3"/>
  <c r="E68" i="3"/>
  <c r="D68" i="3"/>
  <c r="C68" i="3"/>
  <c r="B69" i="3"/>
  <c r="B68" i="3"/>
  <c r="E64" i="3"/>
  <c r="D64" i="3"/>
  <c r="C64" i="3"/>
  <c r="E63" i="3"/>
  <c r="D63" i="3"/>
  <c r="C63" i="3"/>
  <c r="B65" i="3"/>
  <c r="B64" i="3"/>
  <c r="B63" i="3"/>
  <c r="A62" i="3"/>
  <c r="A66" i="3" s="1"/>
  <c r="A67" i="3" s="1"/>
  <c r="A70" i="3" s="1"/>
  <c r="E17" i="1"/>
  <c r="E12" i="1"/>
  <c r="E8" i="1"/>
  <c r="E68" i="1"/>
  <c r="E61" i="1"/>
  <c r="E56" i="1"/>
  <c r="E72" i="1" s="1"/>
  <c r="E47" i="1"/>
  <c r="E42" i="1"/>
  <c r="E71" i="1" s="1"/>
  <c r="E73" i="1" s="1"/>
  <c r="D114" i="1"/>
  <c r="C114" i="1"/>
  <c r="B114" i="1"/>
  <c r="D105" i="1"/>
  <c r="C105" i="1"/>
  <c r="B105" i="1"/>
  <c r="E48" i="1" l="1"/>
  <c r="I59" i="3"/>
  <c r="D56" i="3" s="1"/>
  <c r="H59" i="3"/>
  <c r="C56" i="3" s="1"/>
  <c r="J59" i="3"/>
  <c r="E56" i="3" s="1"/>
  <c r="E13" i="1"/>
  <c r="E62" i="1"/>
  <c r="E18" i="1"/>
  <c r="E20" i="1" s="1"/>
  <c r="E22" i="1" s="1"/>
  <c r="E69" i="1"/>
  <c r="D68" i="1"/>
  <c r="C68" i="1"/>
  <c r="B68" i="1"/>
  <c r="D61" i="1"/>
  <c r="C61" i="1"/>
  <c r="B61" i="1"/>
  <c r="D56" i="1"/>
  <c r="D72" i="1" s="1"/>
  <c r="C56" i="1"/>
  <c r="C72" i="1" s="1"/>
  <c r="B56" i="1"/>
  <c r="B72" i="1" s="1"/>
  <c r="D47" i="1"/>
  <c r="C47" i="1"/>
  <c r="B47" i="1"/>
  <c r="D42" i="1"/>
  <c r="D71" i="1" s="1"/>
  <c r="C42" i="1"/>
  <c r="C71" i="1" s="1"/>
  <c r="B42" i="1"/>
  <c r="B71" i="1" s="1"/>
  <c r="B73" i="1" s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9" i="1" s="1"/>
  <c r="C33" i="1"/>
  <c r="C79" i="1" s="1"/>
  <c r="B33" i="1"/>
  <c r="B79" i="1" s="1"/>
  <c r="C73" i="1" l="1"/>
  <c r="C74" i="1" s="1"/>
  <c r="D73" i="1"/>
  <c r="D74" i="1" s="1"/>
  <c r="E7" i="3"/>
  <c r="C7" i="3"/>
  <c r="C8" i="3"/>
  <c r="C9" i="3"/>
  <c r="C10" i="3"/>
  <c r="C81" i="3"/>
  <c r="C41" i="3"/>
  <c r="B13" i="1"/>
  <c r="C40" i="3"/>
  <c r="C11" i="3"/>
  <c r="C85" i="3"/>
  <c r="C91" i="3"/>
  <c r="C84" i="3"/>
  <c r="C65" i="3"/>
  <c r="D8" i="3"/>
  <c r="D10" i="3"/>
  <c r="D9" i="3"/>
  <c r="D81" i="3"/>
  <c r="D41" i="3"/>
  <c r="C62" i="1"/>
  <c r="D7" i="3"/>
  <c r="E81" i="3"/>
  <c r="E41" i="3"/>
  <c r="E8" i="3"/>
  <c r="E9" i="3"/>
  <c r="E10" i="3"/>
  <c r="D40" i="3"/>
  <c r="D91" i="3"/>
  <c r="D84" i="3"/>
  <c r="D65" i="3"/>
  <c r="D85" i="3"/>
  <c r="D11" i="3"/>
  <c r="C13" i="3"/>
  <c r="C6" i="3"/>
  <c r="C5" i="3"/>
  <c r="C78" i="3"/>
  <c r="C48" i="3"/>
  <c r="C47" i="3" s="1"/>
  <c r="C27" i="3"/>
  <c r="C25" i="3"/>
  <c r="E91" i="3"/>
  <c r="E84" i="3"/>
  <c r="E65" i="3"/>
  <c r="E85" i="3"/>
  <c r="E11" i="3"/>
  <c r="E40" i="3"/>
  <c r="D14" i="3"/>
  <c r="D13" i="3" s="1"/>
  <c r="D5" i="3"/>
  <c r="D6" i="3"/>
  <c r="D78" i="3"/>
  <c r="D48" i="3"/>
  <c r="D47" i="3" s="1"/>
  <c r="D25" i="3"/>
  <c r="D27" i="3"/>
  <c r="E5" i="3"/>
  <c r="E6" i="3"/>
  <c r="E14" i="3"/>
  <c r="E13" i="3" s="1"/>
  <c r="E78" i="3"/>
  <c r="E48" i="3"/>
  <c r="E47" i="3" s="1"/>
  <c r="E25" i="3"/>
  <c r="E27" i="3"/>
  <c r="D13" i="1"/>
  <c r="C13" i="1"/>
  <c r="B48" i="1"/>
  <c r="C26" i="3" s="1"/>
  <c r="B62" i="1"/>
  <c r="B69" i="1" s="1"/>
  <c r="B18" i="1"/>
  <c r="C48" i="1"/>
  <c r="D26" i="3" s="1"/>
  <c r="D62" i="1"/>
  <c r="D69" i="1" s="1"/>
  <c r="C69" i="1"/>
  <c r="D48" i="1"/>
  <c r="E26" i="3" s="1"/>
  <c r="A52" i="3"/>
  <c r="A54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12" i="3" l="1"/>
  <c r="B74" i="1"/>
  <c r="C18" i="1"/>
  <c r="D17" i="3"/>
  <c r="D82" i="3"/>
  <c r="D66" i="3"/>
  <c r="B20" i="1"/>
  <c r="C86" i="3"/>
  <c r="C21" i="3"/>
  <c r="C19" i="3"/>
  <c r="D18" i="1"/>
  <c r="E82" i="3"/>
  <c r="E66" i="3"/>
  <c r="E17" i="3"/>
  <c r="E39" i="3"/>
  <c r="C39" i="3"/>
  <c r="E12" i="3"/>
  <c r="D12" i="3"/>
  <c r="C82" i="3"/>
  <c r="C17" i="3"/>
  <c r="C66" i="3"/>
  <c r="D39" i="3"/>
  <c r="A24" i="3"/>
  <c r="A25" i="3" s="1"/>
  <c r="A26" i="3" s="1"/>
  <c r="A27" i="3" s="1"/>
  <c r="A28" i="3" s="1"/>
  <c r="A29" i="3" s="1"/>
  <c r="A30" i="3" s="1"/>
  <c r="D20" i="1" l="1"/>
  <c r="E21" i="3"/>
  <c r="E19" i="3"/>
  <c r="E29" i="3" s="1"/>
  <c r="E86" i="3"/>
  <c r="C20" i="1"/>
  <c r="D19" i="3"/>
  <c r="D29" i="3" s="1"/>
  <c r="D86" i="3"/>
  <c r="D21" i="3"/>
  <c r="C29" i="3"/>
  <c r="C18" i="3"/>
  <c r="C55" i="3"/>
  <c r="B22" i="1"/>
  <c r="H31" i="3" s="1"/>
  <c r="H36" i="3" s="1"/>
  <c r="C31" i="3" s="1"/>
  <c r="C30" i="3" s="1"/>
  <c r="C89" i="3"/>
  <c r="C20" i="3"/>
  <c r="C28" i="3"/>
  <c r="C53" i="3"/>
  <c r="A38" i="3"/>
  <c r="A44" i="3" s="1"/>
  <c r="A45" i="3" s="1"/>
  <c r="A46" i="3" s="1"/>
  <c r="A47" i="3" s="1"/>
  <c r="A48" i="3" s="1"/>
  <c r="A49" i="3" s="1"/>
  <c r="A51" i="3" s="1"/>
  <c r="A53" i="3" s="1"/>
  <c r="A55" i="3" s="1"/>
  <c r="B82" i="1" l="1"/>
  <c r="B97" i="1" s="1"/>
  <c r="B115" i="1" s="1"/>
  <c r="C52" i="3"/>
  <c r="C22" i="3"/>
  <c r="C87" i="3"/>
  <c r="C49" i="3"/>
  <c r="C42" i="3"/>
  <c r="C54" i="3" s="1"/>
  <c r="D28" i="3"/>
  <c r="D20" i="3"/>
  <c r="D53" i="3"/>
  <c r="C22" i="1"/>
  <c r="I31" i="3" s="1"/>
  <c r="I36" i="3" s="1"/>
  <c r="D31" i="3" s="1"/>
  <c r="D30" i="3" s="1"/>
  <c r="D89" i="3"/>
  <c r="D22" i="1"/>
  <c r="J31" i="3" s="1"/>
  <c r="J36" i="3" s="1"/>
  <c r="E31" i="3" s="1"/>
  <c r="E30" i="3" s="1"/>
  <c r="E89" i="3"/>
  <c r="E18" i="3"/>
  <c r="E55" i="3"/>
  <c r="D18" i="3"/>
  <c r="D55" i="3"/>
  <c r="E28" i="3"/>
  <c r="E20" i="3"/>
  <c r="E53" i="3"/>
  <c r="A39" i="3"/>
  <c r="A40" i="3" s="1"/>
  <c r="A41" i="3" s="1"/>
  <c r="A42" i="3" s="1"/>
  <c r="D82" i="1" l="1"/>
  <c r="D97" i="1" s="1"/>
  <c r="D115" i="1" s="1"/>
  <c r="E49" i="3"/>
  <c r="E42" i="3"/>
  <c r="E54" i="3" s="1"/>
  <c r="E52" i="3"/>
  <c r="E22" i="3"/>
  <c r="E87" i="3"/>
  <c r="C82" i="1"/>
  <c r="C97" i="1" s="1"/>
  <c r="C115" i="1" s="1"/>
  <c r="D87" i="3"/>
  <c r="D52" i="3"/>
  <c r="D22" i="3"/>
  <c r="D49" i="3"/>
  <c r="D42" i="3"/>
  <c r="D54" i="3" s="1"/>
</calcChain>
</file>

<file path=xl/sharedStrings.xml><?xml version="1.0" encoding="utf-8"?>
<sst xmlns="http://schemas.openxmlformats.org/spreadsheetml/2006/main" count="211" uniqueCount="168">
  <si>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</si>
  <si>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</si>
  <si>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</si>
  <si>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</si>
  <si>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</si>
  <si>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</si>
  <si>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</si>
  <si>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</si>
  <si>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</si>
  <si>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</si>
  <si>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</si>
  <si>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</si>
  <si>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</si>
  <si>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</si>
  <si>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</si>
  <si>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</si>
  <si>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</si>
  <si>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</si>
  <si>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</si>
  <si>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</si>
  <si>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</si>
  <si>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</si>
  <si>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</si>
  <si>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</si>
  <si>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</si>
  <si>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</si>
  <si>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</si>
  <si>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</si>
  <si>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</si>
  <si>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</si>
  <si>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</si>
  <si>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</si>
  <si>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</si>
  <si>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</si>
  <si>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</si>
  <si>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</si>
  <si>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</si>
  <si>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</si>
  <si>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</si>
  <si>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</si>
  <si>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</si>
  <si>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</si>
  <si>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</si>
  <si>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</si>
  <si>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</si>
  <si>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</si>
  <si>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</si>
  <si>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</si>
  <si>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</si>
  <si>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</si>
  <si>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</si>
  <si>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</si>
  <si>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</si>
  <si>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</si>
  <si>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</si>
  <si>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</si>
  <si>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</si>
  <si>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</si>
  <si>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</si>
  <si>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</si>
  <si>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</si>
  <si>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</si>
  <si>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</si>
  <si>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</si>
  <si>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</si>
  <si>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</si>
  <si>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</si>
  <si>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</si>
  <si>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</si>
  <si>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</si>
  <si>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</si>
  <si>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</si>
  <si>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</si>
  <si>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</si>
  <si>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</si>
  <si>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</si>
  <si>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</si>
  <si>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</si>
  <si>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</si>
  <si>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</si>
  <si>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</si>
  <si>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</si>
  <si>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</si>
  <si>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</si>
  <si>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</si>
  <si>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</si>
  <si>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</si>
  <si>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</si>
  <si>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</si>
  <si>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</si>
  <si>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</si>
  <si>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</si>
  <si>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</si>
  <si>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</si>
  <si>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</si>
  <si>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</si>
  <si>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</si>
  <si>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</si>
  <si>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</si>
  <si>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</si>
  <si>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</si>
  <si>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</si>
  <si>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</si>
  <si>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</si>
  <si>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</si>
  <si>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</si>
  <si>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</si>
  <si>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</si>
  <si>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</si>
  <si>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</si>
  <si>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</si>
  <si>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</si>
  <si>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</si>
  <si>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</si>
  <si>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</si>
  <si>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</si>
  <si>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</si>
  <si>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</si>
  <si>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</si>
  <si>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</si>
  <si>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</si>
  <si>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</si>
  <si>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</si>
  <si>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</si>
  <si>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</si>
  <si>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</si>
  <si>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</si>
  <si>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</si>
  <si>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</si>
  <si>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</si>
  <si>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</si>
  <si>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</si>
  <si>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</si>
  <si>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</si>
  <si>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</si>
  <si>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</si>
  <si>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</si>
  <si>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</si>
  <si>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</si>
  <si>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</si>
  <si>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</si>
  <si>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</si>
  <si>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</si>
  <si>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</si>
  <si>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</si>
  <si>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</si>
  <si>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</si>
  <si>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</si>
  <si>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</si>
  <si>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Interest Expenses</t>
  </si>
  <si>
    <t>Growth rate</t>
  </si>
  <si>
    <t>Stock Price</t>
  </si>
  <si>
    <t>Price to earnings (P/E)</t>
  </si>
  <si>
    <t>Mcap</t>
  </si>
  <si>
    <t>Debt</t>
  </si>
  <si>
    <t>Cash</t>
  </si>
  <si>
    <t>EV</t>
  </si>
  <si>
    <t>As a % of Net Sales</t>
  </si>
  <si>
    <t>Short-term debt</t>
  </si>
  <si>
    <t>Long-term debt</t>
  </si>
  <si>
    <t>(+) Non-Cash Expenses</t>
  </si>
  <si>
    <t>(-) Working Capital Changes</t>
  </si>
  <si>
    <t>(-) Capex</t>
  </si>
  <si>
    <t>(+) Net Borrowings</t>
  </si>
  <si>
    <t>Net Income</t>
  </si>
  <si>
    <t>Current Assets less Cash and cash equivalents</t>
  </si>
  <si>
    <t>Current Liabilities less Debt</t>
  </si>
  <si>
    <t>Change in 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</si>
</sst>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\x"/>
    <numFmt numFmtId="167" formatCode="_(* #,##0.0_);_(* \(#,##0.0\);_(* &quot;-&quot;??_);_(@_)"/>
    <numFmt numFmtId="168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164" fontId="0" fillId="0" borderId="0" xfId="0" applyNumberFormat="1"/>
    <xf numFmtId="43" fontId="0" fillId="0" borderId="0" xfId="0" applyNumberFormat="1"/>
    <xf numFmtId="166" fontId="0" fillId="0" borderId="0" xfId="0" applyNumberFormat="1"/>
    <xf numFmtId="43" fontId="0" fillId="4" borderId="0" xfId="0" applyNumberFormat="1" applyFill="1"/>
    <xf numFmtId="167" fontId="0" fillId="0" borderId="0" xfId="1" applyNumberFormat="1" applyFont="1"/>
    <xf numFmtId="168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4" fontId="2" fillId="0" borderId="0" xfId="0" applyNumberFormat="1" applyFont="1"/>
    <xf numFmtId="14" fontId="2" fillId="0" borderId="0" xfId="0" applyNumberFormat="1" applyFont="1" applyAlignment="1">
      <alignment wrapText="1"/>
    </xf>
    <xf numFmtId="43" fontId="0" fillId="0" borderId="0" xfId="1" applyNumberFormat="1" applyFont="1"/>
    <xf numFmtId="167" fontId="0" fillId="0" borderId="0" xfId="0" applyNumberFormat="1"/>
    <xf numFmtId="168" fontId="0" fillId="0" borderId="0" xfId="1" applyNumberFormat="1" applyFont="1"/>
    <xf numFmtId="164" fontId="2" fillId="0" borderId="0" xfId="0" applyNumberFormat="1" applyFont="1"/>
    <xf numFmtId="0" fontId="0" fillId="0" borderId="0" xfId="0" applyFill="1"/>
    <xf numFmtId="0" fontId="0" fillId="0" borderId="0" xfId="0" applyFill="1" applyAlignment="1">
      <alignment horizontal="left" indent="1"/>
    </xf>
    <xf numFmtId="165" fontId="2" fillId="0" borderId="0" xfId="0" applyNumberFormat="1" applyFont="1"/>
    <xf numFmtId="0" fontId="0" fillId="0" borderId="0" xfId="0" applyFill="1" applyAlignment="1">
      <alignment horizontal="left" indent="2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abSelected="1" zoomScale="120" zoomScaleNormal="120" workbookViewId="0"/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140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147</v>
      </c>
    </row>
    <row r="7" spans="1:1" x14ac:dyDescent="0.3">
      <c r="A7" s="1"/>
    </row>
    <row r="8" spans="1:1" x14ac:dyDescent="0.3">
      <c r="A8" s="17" t="s">
        <v>148</v>
      </c>
    </row>
    <row r="9" spans="1:1" x14ac:dyDescent="0.3">
      <c r="A9" s="1" t="s">
        <v>144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145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143</v>
      </c>
    </row>
    <row r="27" spans="1:1" x14ac:dyDescent="0.3">
      <c r="A27" s="16" t="s">
        <v>142</v>
      </c>
    </row>
    <row r="29" spans="1:1" x14ac:dyDescent="0.3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22"/>
  <sheetViews>
    <sheetView topLeftCell="A85" workbookViewId="0">
      <selection activeCell="B110" sqref="B110:B112"/>
    </sheetView>
  </sheetViews>
  <sheetFormatPr defaultRowHeight="14.4" x14ac:dyDescent="0.3"/>
  <cols>
    <col min="1" max="1" width="59" customWidth="1"/>
    <col min="2" max="3" width="11.5546875" bestFit="1" customWidth="1"/>
    <col min="4" max="5" width="11.6640625" bestFit="1" customWidth="1"/>
  </cols>
  <sheetData>
    <row r="1" spans="1:10 16384:16384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 16384:16384" x14ac:dyDescent="0.3">
      <c r="A2" s="31" t="s">
        <v>1</v>
      </c>
      <c r="B2" s="31"/>
      <c r="C2" s="31"/>
      <c r="D2" s="31"/>
    </row>
    <row r="3" spans="1:10 16384:16384" x14ac:dyDescent="0.3">
      <c r="B3" s="30" t="s">
        <v>23</v>
      </c>
      <c r="C3" s="30"/>
      <c r="D3" s="30"/>
    </row>
    <row r="4" spans="1:10 16384:16384" x14ac:dyDescent="0.3">
      <c r="B4" s="7">
        <v>2022</v>
      </c>
      <c r="C4" s="7">
        <v>2021</v>
      </c>
      <c r="D4" s="7">
        <v>2020</v>
      </c>
      <c r="E4" s="7">
        <v>2019</v>
      </c>
    </row>
    <row r="5" spans="1:10 16384:16384" x14ac:dyDescent="0.3">
      <c r="A5" t="s">
        <v>3</v>
      </c>
    </row>
    <row r="6" spans="1:10 16384:16384" x14ac:dyDescent="0.3">
      <c r="A6" s="1" t="s">
        <v>4</v>
      </c>
      <c r="B6" s="12">
        <v>316199</v>
      </c>
      <c r="C6" s="12">
        <v>297392</v>
      </c>
      <c r="D6" s="12">
        <v>220747</v>
      </c>
      <c r="E6" s="12">
        <v>213883</v>
      </c>
    </row>
    <row r="7" spans="1:10 16384:16384" x14ac:dyDescent="0.3">
      <c r="A7" s="1" t="s">
        <v>5</v>
      </c>
      <c r="B7" s="12">
        <v>78129</v>
      </c>
      <c r="C7" s="12">
        <v>68425</v>
      </c>
      <c r="D7" s="12">
        <v>53768</v>
      </c>
      <c r="E7" s="12">
        <v>46291</v>
      </c>
    </row>
    <row r="8" spans="1:10 16384:16384" x14ac:dyDescent="0.3">
      <c r="A8" s="8" t="s">
        <v>6</v>
      </c>
      <c r="B8" s="13">
        <f>+B6+B7</f>
        <v>394328</v>
      </c>
      <c r="C8" s="13">
        <f t="shared" ref="C8:E8" si="0">+C6+C7</f>
        <v>365817</v>
      </c>
      <c r="D8" s="13">
        <f t="shared" si="0"/>
        <v>274515</v>
      </c>
      <c r="E8" s="13">
        <f t="shared" si="0"/>
        <v>260174</v>
      </c>
      <c r="XFD8" s="13"/>
    </row>
    <row r="9" spans="1:10 16384:16384" x14ac:dyDescent="0.3">
      <c r="A9" t="s">
        <v>7</v>
      </c>
      <c r="B9" s="12"/>
      <c r="C9" s="12"/>
      <c r="D9" s="12"/>
      <c r="E9" s="12"/>
    </row>
    <row r="10" spans="1:10 16384:16384" x14ac:dyDescent="0.3">
      <c r="A10" s="1" t="s">
        <v>4</v>
      </c>
      <c r="B10" s="12">
        <v>201471</v>
      </c>
      <c r="C10" s="12">
        <v>192266</v>
      </c>
      <c r="D10" s="12">
        <v>151286</v>
      </c>
      <c r="E10" s="12">
        <v>144996</v>
      </c>
    </row>
    <row r="11" spans="1:10 16384:16384" x14ac:dyDescent="0.3">
      <c r="A11" s="1" t="s">
        <v>5</v>
      </c>
      <c r="B11" s="12">
        <v>22075</v>
      </c>
      <c r="C11" s="12">
        <v>20715</v>
      </c>
      <c r="D11" s="12">
        <v>18273</v>
      </c>
      <c r="E11" s="12">
        <v>16786</v>
      </c>
    </row>
    <row r="12" spans="1:10 16384:16384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E12" s="13">
        <f t="shared" ref="E12" si="2">+E10+E11</f>
        <v>161782</v>
      </c>
    </row>
    <row r="13" spans="1:10 16384:16384" x14ac:dyDescent="0.3">
      <c r="A13" s="8" t="s">
        <v>9</v>
      </c>
      <c r="B13" s="13">
        <f>+B8-B12</f>
        <v>170782</v>
      </c>
      <c r="C13" s="13">
        <f t="shared" ref="C13:D13" si="3">+C8-C12</f>
        <v>152836</v>
      </c>
      <c r="D13" s="13">
        <f t="shared" si="3"/>
        <v>104956</v>
      </c>
      <c r="E13" s="13">
        <f t="shared" ref="E13" si="4">+E8-E12</f>
        <v>98392</v>
      </c>
    </row>
    <row r="14" spans="1:10 16384:16384" x14ac:dyDescent="0.3">
      <c r="A14" t="s">
        <v>10</v>
      </c>
      <c r="B14" s="12"/>
      <c r="C14" s="12"/>
      <c r="D14" s="12"/>
      <c r="E14" s="12"/>
    </row>
    <row r="15" spans="1:10 16384:16384" x14ac:dyDescent="0.3">
      <c r="A15" s="1" t="s">
        <v>11</v>
      </c>
      <c r="B15" s="12">
        <v>26251</v>
      </c>
      <c r="C15" s="12">
        <v>21914</v>
      </c>
      <c r="D15" s="12">
        <v>18752</v>
      </c>
      <c r="E15" s="12">
        <v>16217</v>
      </c>
    </row>
    <row r="16" spans="1:10 16384:16384" x14ac:dyDescent="0.3">
      <c r="A16" s="1" t="s">
        <v>12</v>
      </c>
      <c r="B16" s="12">
        <v>25094</v>
      </c>
      <c r="C16" s="12">
        <v>21973</v>
      </c>
      <c r="D16" s="12">
        <v>19916</v>
      </c>
      <c r="E16" s="12">
        <v>18245</v>
      </c>
    </row>
    <row r="17" spans="1:8" x14ac:dyDescent="0.3">
      <c r="A17" s="8" t="s">
        <v>13</v>
      </c>
      <c r="B17" s="13">
        <f>+B15+B16</f>
        <v>51345</v>
      </c>
      <c r="C17" s="13">
        <f t="shared" ref="C17" si="5">+C15+C16</f>
        <v>43887</v>
      </c>
      <c r="D17" s="13">
        <f t="shared" ref="D17:E17" si="6">+D15+D16</f>
        <v>38668</v>
      </c>
      <c r="E17" s="13">
        <f t="shared" si="6"/>
        <v>34462</v>
      </c>
    </row>
    <row r="18" spans="1:8" s="7" customFormat="1" x14ac:dyDescent="0.3">
      <c r="A18" s="8" t="s">
        <v>14</v>
      </c>
      <c r="B18" s="13">
        <f>+B13-B17</f>
        <v>119437</v>
      </c>
      <c r="C18" s="13">
        <f t="shared" ref="C18:D18" si="7">+C13-C17</f>
        <v>108949</v>
      </c>
      <c r="D18" s="13">
        <f t="shared" si="7"/>
        <v>66288</v>
      </c>
      <c r="E18" s="13">
        <f t="shared" ref="E18" si="8">+E13-E17</f>
        <v>63930</v>
      </c>
    </row>
    <row r="19" spans="1:8" x14ac:dyDescent="0.3">
      <c r="A19" t="s">
        <v>15</v>
      </c>
      <c r="B19" s="12">
        <v>-334</v>
      </c>
      <c r="C19" s="12">
        <v>258</v>
      </c>
      <c r="D19" s="12">
        <v>803</v>
      </c>
      <c r="E19" s="12">
        <v>1807</v>
      </c>
    </row>
    <row r="20" spans="1:8" x14ac:dyDescent="0.3">
      <c r="A20" s="8" t="s">
        <v>16</v>
      </c>
      <c r="B20" s="13">
        <f>+B18+B19</f>
        <v>119103</v>
      </c>
      <c r="C20" s="13">
        <f t="shared" ref="C20:E20" si="9">+C18+C19</f>
        <v>109207</v>
      </c>
      <c r="D20" s="13">
        <f t="shared" si="9"/>
        <v>67091</v>
      </c>
      <c r="E20" s="13">
        <f t="shared" si="9"/>
        <v>65737</v>
      </c>
    </row>
    <row r="21" spans="1:8" x14ac:dyDescent="0.3">
      <c r="A21" t="s">
        <v>17</v>
      </c>
      <c r="B21" s="12">
        <v>19300</v>
      </c>
      <c r="C21" s="12">
        <v>14527</v>
      </c>
      <c r="D21" s="12">
        <v>9680</v>
      </c>
      <c r="E21" s="12">
        <v>10481</v>
      </c>
    </row>
    <row r="22" spans="1:8" ht="15" thickBot="1" x14ac:dyDescent="0.35">
      <c r="A22" s="9" t="s">
        <v>18</v>
      </c>
      <c r="B22" s="14">
        <f>+B20-B21</f>
        <v>99803</v>
      </c>
      <c r="C22" s="14">
        <f t="shared" ref="C22:E22" si="10">+C20-C21</f>
        <v>94680</v>
      </c>
      <c r="D22" s="14">
        <f t="shared" si="10"/>
        <v>57411</v>
      </c>
      <c r="E22" s="14">
        <f t="shared" si="10"/>
        <v>55256</v>
      </c>
    </row>
    <row r="23" spans="1:8" ht="15" thickTop="1" x14ac:dyDescent="0.3">
      <c r="A23" t="s">
        <v>19</v>
      </c>
    </row>
    <row r="24" spans="1:8" x14ac:dyDescent="0.3">
      <c r="A24" s="1" t="s">
        <v>20</v>
      </c>
      <c r="B24" s="10">
        <v>6.15</v>
      </c>
      <c r="C24" s="10">
        <v>5.67</v>
      </c>
      <c r="D24" s="10">
        <v>3.31</v>
      </c>
      <c r="E24" s="27">
        <v>2.9914457730615696</v>
      </c>
      <c r="F24" s="25"/>
      <c r="G24" s="25"/>
      <c r="H24" s="25"/>
    </row>
    <row r="25" spans="1:8" x14ac:dyDescent="0.3">
      <c r="A25" s="1" t="s">
        <v>21</v>
      </c>
      <c r="B25" s="10">
        <v>6.11</v>
      </c>
      <c r="C25" s="10">
        <v>5.61</v>
      </c>
      <c r="D25" s="10">
        <v>3.28</v>
      </c>
      <c r="E25" s="27">
        <v>2.9714474637107351</v>
      </c>
      <c r="F25" s="25"/>
      <c r="G25" s="25"/>
      <c r="H25" s="25"/>
    </row>
    <row r="26" spans="1:8" x14ac:dyDescent="0.3">
      <c r="A26" t="s">
        <v>22</v>
      </c>
    </row>
    <row r="27" spans="1:8" x14ac:dyDescent="0.3">
      <c r="A27" s="1" t="s">
        <v>20</v>
      </c>
      <c r="B27" s="2">
        <v>16215963</v>
      </c>
      <c r="C27" s="2">
        <v>16701272</v>
      </c>
      <c r="D27" s="2">
        <v>17352119</v>
      </c>
      <c r="E27" s="2">
        <v>18471336</v>
      </c>
    </row>
    <row r="28" spans="1:8" x14ac:dyDescent="0.3">
      <c r="A28" s="1" t="s">
        <v>21</v>
      </c>
      <c r="B28" s="2">
        <v>16325819</v>
      </c>
      <c r="C28" s="2">
        <v>16864919</v>
      </c>
      <c r="D28" s="2">
        <v>17528214</v>
      </c>
      <c r="E28" s="2">
        <v>18595651</v>
      </c>
    </row>
    <row r="31" spans="1:8" x14ac:dyDescent="0.3">
      <c r="A31" s="31" t="s">
        <v>24</v>
      </c>
      <c r="B31" s="31"/>
      <c r="C31" s="31"/>
      <c r="D31" s="31"/>
    </row>
    <row r="32" spans="1:8" x14ac:dyDescent="0.3">
      <c r="B32" s="30" t="s">
        <v>141</v>
      </c>
      <c r="C32" s="30"/>
      <c r="D32" s="30"/>
    </row>
    <row r="33" spans="1:5" x14ac:dyDescent="0.3">
      <c r="B33" s="7">
        <f>+B4</f>
        <v>2022</v>
      </c>
      <c r="C33" s="7">
        <f t="shared" ref="C33:D33" si="11">+C4</f>
        <v>2021</v>
      </c>
      <c r="D33" s="7">
        <f t="shared" si="11"/>
        <v>2020</v>
      </c>
      <c r="E33" s="7">
        <v>2019</v>
      </c>
    </row>
    <row r="35" spans="1:5" x14ac:dyDescent="0.3">
      <c r="A35" t="s">
        <v>25</v>
      </c>
    </row>
    <row r="36" spans="1:5" x14ac:dyDescent="0.3">
      <c r="A36" s="1" t="s">
        <v>26</v>
      </c>
      <c r="B36" s="12">
        <v>23646</v>
      </c>
      <c r="C36" s="12">
        <v>34940</v>
      </c>
      <c r="D36" s="12">
        <v>38016</v>
      </c>
      <c r="E36" s="12">
        <v>48844</v>
      </c>
    </row>
    <row r="37" spans="1:5" x14ac:dyDescent="0.3">
      <c r="A37" s="1" t="s">
        <v>27</v>
      </c>
      <c r="B37" s="12">
        <v>24658</v>
      </c>
      <c r="C37" s="12">
        <v>27699</v>
      </c>
      <c r="D37" s="12">
        <v>52927</v>
      </c>
      <c r="E37" s="12">
        <v>51713</v>
      </c>
    </row>
    <row r="38" spans="1:5" x14ac:dyDescent="0.3">
      <c r="A38" s="1" t="s">
        <v>28</v>
      </c>
      <c r="B38" s="12">
        <v>28184</v>
      </c>
      <c r="C38" s="12">
        <v>26278</v>
      </c>
      <c r="D38" s="12">
        <v>16120</v>
      </c>
      <c r="E38" s="12">
        <v>22926</v>
      </c>
    </row>
    <row r="39" spans="1:5" x14ac:dyDescent="0.3">
      <c r="A39" s="1" t="s">
        <v>29</v>
      </c>
      <c r="B39" s="12">
        <v>4946</v>
      </c>
      <c r="C39" s="12">
        <v>6580</v>
      </c>
      <c r="D39" s="12">
        <v>4061</v>
      </c>
      <c r="E39" s="12">
        <v>4106</v>
      </c>
    </row>
    <row r="40" spans="1:5" x14ac:dyDescent="0.3">
      <c r="A40" s="1" t="s">
        <v>47</v>
      </c>
      <c r="B40" s="12">
        <v>32748</v>
      </c>
      <c r="C40" s="12">
        <v>25228</v>
      </c>
      <c r="D40" s="12">
        <v>21325</v>
      </c>
      <c r="E40" s="12">
        <v>22878</v>
      </c>
    </row>
    <row r="41" spans="1:5" x14ac:dyDescent="0.3">
      <c r="A41" s="1" t="s">
        <v>30</v>
      </c>
      <c r="B41" s="12">
        <v>21223</v>
      </c>
      <c r="C41" s="12">
        <v>14111</v>
      </c>
      <c r="D41" s="12">
        <v>11264</v>
      </c>
      <c r="E41" s="12">
        <v>12352</v>
      </c>
    </row>
    <row r="42" spans="1:5" x14ac:dyDescent="0.3">
      <c r="A42" s="8" t="s">
        <v>31</v>
      </c>
      <c r="B42" s="13">
        <f>+SUM(B36:B41)</f>
        <v>135405</v>
      </c>
      <c r="C42" s="13">
        <f t="shared" ref="C42:E42" si="12">+SUM(C36:C41)</f>
        <v>134836</v>
      </c>
      <c r="D42" s="13">
        <f t="shared" si="12"/>
        <v>143713</v>
      </c>
      <c r="E42" s="13">
        <f t="shared" si="12"/>
        <v>162819</v>
      </c>
    </row>
    <row r="43" spans="1:5" x14ac:dyDescent="0.3">
      <c r="A43" t="s">
        <v>48</v>
      </c>
      <c r="B43" s="12"/>
      <c r="C43" s="12"/>
      <c r="D43" s="12"/>
      <c r="E43" s="12"/>
    </row>
    <row r="44" spans="1:5" x14ac:dyDescent="0.3">
      <c r="A44" s="1" t="s">
        <v>27</v>
      </c>
      <c r="B44" s="12">
        <v>120805</v>
      </c>
      <c r="C44" s="12">
        <v>127877</v>
      </c>
      <c r="D44" s="12">
        <v>100887</v>
      </c>
      <c r="E44" s="12">
        <v>105341</v>
      </c>
    </row>
    <row r="45" spans="1:5" x14ac:dyDescent="0.3">
      <c r="A45" s="1" t="s">
        <v>32</v>
      </c>
      <c r="B45" s="12">
        <v>42117</v>
      </c>
      <c r="C45" s="12">
        <v>39440</v>
      </c>
      <c r="D45" s="12">
        <v>36766</v>
      </c>
      <c r="E45" s="12">
        <v>37378</v>
      </c>
    </row>
    <row r="46" spans="1:5" x14ac:dyDescent="0.3">
      <c r="A46" s="1" t="s">
        <v>49</v>
      </c>
      <c r="B46" s="12">
        <v>54428</v>
      </c>
      <c r="C46" s="12">
        <v>48849</v>
      </c>
      <c r="D46" s="12">
        <v>42522</v>
      </c>
      <c r="E46" s="12">
        <v>32978</v>
      </c>
    </row>
    <row r="47" spans="1:5" x14ac:dyDescent="0.3">
      <c r="A47" s="8" t="s">
        <v>50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  <c r="E47" s="13">
        <f t="shared" ref="E47" si="14">+SUM(E44:E46)</f>
        <v>175697</v>
      </c>
    </row>
    <row r="48" spans="1:5" ht="15" thickBot="1" x14ac:dyDescent="0.35">
      <c r="A48" s="9" t="s">
        <v>33</v>
      </c>
      <c r="B48" s="14">
        <f>+B42+B47</f>
        <v>352755</v>
      </c>
      <c r="C48" s="14">
        <f t="shared" ref="C48:D48" si="15">+C42+C47</f>
        <v>351002</v>
      </c>
      <c r="D48" s="14">
        <f t="shared" si="15"/>
        <v>323888</v>
      </c>
      <c r="E48" s="14">
        <f t="shared" ref="E48" si="16">+E42+E47</f>
        <v>338516</v>
      </c>
    </row>
    <row r="49" spans="1:5" ht="15" thickTop="1" x14ac:dyDescent="0.3"/>
    <row r="50" spans="1:5" x14ac:dyDescent="0.3">
      <c r="A50" t="s">
        <v>34</v>
      </c>
    </row>
    <row r="51" spans="1:5" x14ac:dyDescent="0.3">
      <c r="A51" s="1" t="s">
        <v>35</v>
      </c>
      <c r="B51" s="12">
        <v>64115</v>
      </c>
      <c r="C51" s="12">
        <v>54763</v>
      </c>
      <c r="D51" s="12">
        <v>42296</v>
      </c>
      <c r="E51" s="12">
        <v>46236</v>
      </c>
    </row>
    <row r="52" spans="1:5" x14ac:dyDescent="0.3">
      <c r="A52" s="1" t="s">
        <v>36</v>
      </c>
      <c r="B52" s="12">
        <v>60845</v>
      </c>
      <c r="C52" s="12">
        <v>47493</v>
      </c>
      <c r="D52" s="12">
        <v>42684</v>
      </c>
      <c r="E52" s="12">
        <v>37720</v>
      </c>
    </row>
    <row r="53" spans="1:5" x14ac:dyDescent="0.3">
      <c r="A53" s="1" t="s">
        <v>37</v>
      </c>
      <c r="B53" s="12">
        <v>7912</v>
      </c>
      <c r="C53" s="12">
        <v>7612</v>
      </c>
      <c r="D53" s="12">
        <v>6643</v>
      </c>
      <c r="E53" s="12">
        <v>5522</v>
      </c>
    </row>
    <row r="54" spans="1:5" x14ac:dyDescent="0.3">
      <c r="A54" s="1" t="s">
        <v>38</v>
      </c>
      <c r="B54" s="12">
        <v>9982</v>
      </c>
      <c r="C54" s="12">
        <v>6000</v>
      </c>
      <c r="D54" s="12">
        <v>4996</v>
      </c>
      <c r="E54" s="12">
        <v>5980</v>
      </c>
    </row>
    <row r="55" spans="1:5" x14ac:dyDescent="0.3">
      <c r="A55" s="1" t="s">
        <v>39</v>
      </c>
      <c r="B55" s="12">
        <v>11128</v>
      </c>
      <c r="C55" s="12">
        <v>9613</v>
      </c>
      <c r="D55" s="12">
        <v>8773</v>
      </c>
      <c r="E55" s="12">
        <v>10260</v>
      </c>
    </row>
    <row r="56" spans="1:5" x14ac:dyDescent="0.3">
      <c r="A56" s="8" t="s">
        <v>40</v>
      </c>
      <c r="B56" s="13">
        <f>+SUM(B51:B55)</f>
        <v>153982</v>
      </c>
      <c r="C56" s="13">
        <f t="shared" ref="C56:E56" si="17">+SUM(C51:C55)</f>
        <v>125481</v>
      </c>
      <c r="D56" s="13">
        <f t="shared" si="17"/>
        <v>105392</v>
      </c>
      <c r="E56" s="13">
        <f t="shared" si="17"/>
        <v>105718</v>
      </c>
    </row>
    <row r="57" spans="1:5" x14ac:dyDescent="0.3">
      <c r="A57" t="s">
        <v>51</v>
      </c>
      <c r="B57" s="12"/>
      <c r="C57" s="12"/>
      <c r="D57" s="12"/>
      <c r="E57" s="12"/>
    </row>
    <row r="58" spans="1:5" x14ac:dyDescent="0.3">
      <c r="A58" s="1" t="s">
        <v>37</v>
      </c>
      <c r="B58" s="12"/>
      <c r="C58" s="12"/>
      <c r="D58" s="12"/>
      <c r="E58" s="12"/>
    </row>
    <row r="59" spans="1:5" x14ac:dyDescent="0.3">
      <c r="A59" s="1" t="s">
        <v>39</v>
      </c>
      <c r="B59" s="12">
        <v>98959</v>
      </c>
      <c r="C59" s="12">
        <v>109106</v>
      </c>
      <c r="D59" s="12">
        <v>98667</v>
      </c>
      <c r="E59" s="12">
        <v>91807</v>
      </c>
    </row>
    <row r="60" spans="1:5" x14ac:dyDescent="0.3">
      <c r="A60" s="1" t="s">
        <v>52</v>
      </c>
      <c r="B60" s="12">
        <v>49142</v>
      </c>
      <c r="C60" s="12">
        <v>53325</v>
      </c>
      <c r="D60" s="12">
        <v>54490</v>
      </c>
      <c r="E60" s="12">
        <v>50503</v>
      </c>
    </row>
    <row r="61" spans="1:5" x14ac:dyDescent="0.3">
      <c r="A61" s="22" t="s">
        <v>53</v>
      </c>
      <c r="B61" s="21">
        <f>+B59+B60</f>
        <v>148101</v>
      </c>
      <c r="C61" s="21">
        <f t="shared" ref="C61:D61" si="18">+C59+C60</f>
        <v>162431</v>
      </c>
      <c r="D61" s="21">
        <f t="shared" si="18"/>
        <v>153157</v>
      </c>
      <c r="E61" s="21">
        <f t="shared" ref="E61" si="19">+E59+E60</f>
        <v>142310</v>
      </c>
    </row>
    <row r="62" spans="1:5" x14ac:dyDescent="0.3">
      <c r="A62" s="8" t="s">
        <v>41</v>
      </c>
      <c r="B62" s="13">
        <f>+B56+B61</f>
        <v>302083</v>
      </c>
      <c r="C62" s="13">
        <f t="shared" ref="C62:D62" si="20">+C56+C61</f>
        <v>287912</v>
      </c>
      <c r="D62" s="13">
        <f t="shared" si="20"/>
        <v>258549</v>
      </c>
      <c r="E62" s="13">
        <f t="shared" ref="E62" si="21">+E56+E61</f>
        <v>248028</v>
      </c>
    </row>
    <row r="63" spans="1:5" x14ac:dyDescent="0.3">
      <c r="B63" s="12"/>
      <c r="C63" s="12"/>
      <c r="D63" s="12"/>
      <c r="E63" s="12"/>
    </row>
    <row r="64" spans="1:5" x14ac:dyDescent="0.3">
      <c r="A64" t="s">
        <v>42</v>
      </c>
      <c r="B64" s="12"/>
      <c r="C64" s="12"/>
      <c r="D64" s="12"/>
      <c r="E64" s="12"/>
    </row>
    <row r="65" spans="1:11" x14ac:dyDescent="0.3">
      <c r="A65" s="1" t="s">
        <v>54</v>
      </c>
      <c r="B65" s="12">
        <v>64849</v>
      </c>
      <c r="C65" s="12">
        <v>57365</v>
      </c>
      <c r="D65" s="12">
        <v>50779</v>
      </c>
      <c r="E65" s="12">
        <v>45174</v>
      </c>
    </row>
    <row r="66" spans="1:11" x14ac:dyDescent="0.3">
      <c r="A66" s="1" t="s">
        <v>43</v>
      </c>
      <c r="B66" s="12">
        <v>-3068</v>
      </c>
      <c r="C66" s="12">
        <v>5562</v>
      </c>
      <c r="D66" s="12">
        <v>14966</v>
      </c>
      <c r="E66" s="12">
        <v>45898</v>
      </c>
    </row>
    <row r="67" spans="1:11" x14ac:dyDescent="0.3">
      <c r="A67" s="1" t="s">
        <v>44</v>
      </c>
      <c r="B67" s="12">
        <v>-11109</v>
      </c>
      <c r="C67" s="12">
        <v>163</v>
      </c>
      <c r="D67" s="12">
        <v>-406</v>
      </c>
      <c r="E67" s="12">
        <v>-584</v>
      </c>
    </row>
    <row r="68" spans="1:11" x14ac:dyDescent="0.3">
      <c r="A68" s="8" t="s">
        <v>45</v>
      </c>
      <c r="B68" s="13">
        <f>+SUM(B65:B67)</f>
        <v>50672</v>
      </c>
      <c r="C68" s="13">
        <f t="shared" ref="C68:D68" si="22">+SUM(C65:C67)</f>
        <v>63090</v>
      </c>
      <c r="D68" s="13">
        <f t="shared" si="22"/>
        <v>65339</v>
      </c>
      <c r="E68" s="13">
        <f t="shared" ref="E68" si="23">+SUM(E65:E67)</f>
        <v>90488</v>
      </c>
      <c r="H68" s="24"/>
      <c r="I68" s="24"/>
      <c r="J68" s="24"/>
      <c r="K68" s="24"/>
    </row>
    <row r="69" spans="1:11" ht="15" thickBot="1" x14ac:dyDescent="0.35">
      <c r="A69" s="9" t="s">
        <v>46</v>
      </c>
      <c r="B69" s="14">
        <f>+B68+B62</f>
        <v>352755</v>
      </c>
      <c r="C69" s="14">
        <f t="shared" ref="C69:D69" si="24">+C68+C62</f>
        <v>351002</v>
      </c>
      <c r="D69" s="14">
        <f t="shared" si="24"/>
        <v>323888</v>
      </c>
      <c r="E69" s="14">
        <f t="shared" ref="E69" si="25">+E68+E62</f>
        <v>338516</v>
      </c>
      <c r="H69" s="24"/>
      <c r="I69" s="24"/>
      <c r="J69" s="24"/>
      <c r="K69" s="24"/>
    </row>
    <row r="70" spans="1:11" ht="15" thickTop="1" x14ac:dyDescent="0.3">
      <c r="H70" s="24"/>
      <c r="I70" s="24"/>
      <c r="J70" s="24"/>
      <c r="K70" s="24"/>
    </row>
    <row r="71" spans="1:11" x14ac:dyDescent="0.3">
      <c r="A71" t="s">
        <v>165</v>
      </c>
      <c r="B71" s="24">
        <f>B42-B36-B37</f>
        <v>87101</v>
      </c>
      <c r="C71" s="24">
        <f t="shared" ref="C71:E71" si="26">C42-C36-C37</f>
        <v>72197</v>
      </c>
      <c r="D71" s="24">
        <f t="shared" si="26"/>
        <v>52770</v>
      </c>
      <c r="E71" s="24">
        <f t="shared" si="26"/>
        <v>62262</v>
      </c>
      <c r="H71" s="24"/>
      <c r="I71" s="24"/>
      <c r="J71" s="24"/>
      <c r="K71" s="24"/>
    </row>
    <row r="72" spans="1:11" x14ac:dyDescent="0.3">
      <c r="A72" t="s">
        <v>166</v>
      </c>
      <c r="B72" s="24">
        <f>B56-B54-B55</f>
        <v>132872</v>
      </c>
      <c r="C72" s="24">
        <f t="shared" ref="C72:E72" si="27">C56-C54-C55</f>
        <v>109868</v>
      </c>
      <c r="D72" s="24">
        <f t="shared" si="27"/>
        <v>91623</v>
      </c>
      <c r="E72" s="24">
        <f t="shared" si="27"/>
        <v>89478</v>
      </c>
      <c r="H72" s="24"/>
      <c r="I72" s="24"/>
      <c r="J72" s="24"/>
      <c r="K72" s="24"/>
    </row>
    <row r="73" spans="1:11" x14ac:dyDescent="0.3">
      <c r="A73" t="s">
        <v>109</v>
      </c>
      <c r="B73" s="24">
        <f>B71-B72</f>
        <v>-45771</v>
      </c>
      <c r="C73" s="24">
        <f t="shared" ref="C73:E73" si="28">C71-C72</f>
        <v>-37671</v>
      </c>
      <c r="D73" s="24">
        <f t="shared" si="28"/>
        <v>-38853</v>
      </c>
      <c r="E73" s="24">
        <f t="shared" si="28"/>
        <v>-27216</v>
      </c>
      <c r="H73" s="24"/>
      <c r="I73" s="24"/>
      <c r="J73" s="24"/>
      <c r="K73" s="24"/>
    </row>
    <row r="74" spans="1:11" x14ac:dyDescent="0.3">
      <c r="A74" t="s">
        <v>167</v>
      </c>
      <c r="B74" s="24">
        <f>B73-C73</f>
        <v>-8100</v>
      </c>
      <c r="C74" s="24">
        <f t="shared" ref="C74:D74" si="29">C73-D73</f>
        <v>1182</v>
      </c>
      <c r="D74" s="24">
        <f t="shared" si="29"/>
        <v>-11637</v>
      </c>
      <c r="H74" s="24"/>
      <c r="I74" s="24"/>
      <c r="J74" s="24"/>
      <c r="K74" s="24"/>
    </row>
    <row r="75" spans="1:11" x14ac:dyDescent="0.3">
      <c r="H75" s="24"/>
      <c r="I75" s="24"/>
      <c r="J75" s="24"/>
      <c r="K75" s="24"/>
    </row>
    <row r="76" spans="1:11" x14ac:dyDescent="0.3">
      <c r="H76" s="24"/>
      <c r="I76" s="24"/>
      <c r="J76" s="24"/>
      <c r="K76" s="24"/>
    </row>
    <row r="77" spans="1:11" x14ac:dyDescent="0.3">
      <c r="A77" s="31" t="s">
        <v>55</v>
      </c>
      <c r="B77" s="31"/>
      <c r="C77" s="31"/>
      <c r="D77" s="31"/>
      <c r="H77" s="24"/>
      <c r="I77" s="24"/>
      <c r="J77" s="24"/>
    </row>
    <row r="78" spans="1:11" x14ac:dyDescent="0.3">
      <c r="B78" s="30" t="s">
        <v>23</v>
      </c>
      <c r="C78" s="30"/>
      <c r="D78" s="30"/>
    </row>
    <row r="79" spans="1:11" x14ac:dyDescent="0.3">
      <c r="B79" s="7">
        <f>+B33</f>
        <v>2022</v>
      </c>
      <c r="C79" s="7">
        <f>+C33</f>
        <v>2021</v>
      </c>
      <c r="D79" s="7">
        <f>+D33</f>
        <v>2020</v>
      </c>
      <c r="E79" s="7"/>
    </row>
    <row r="81" spans="1:5" x14ac:dyDescent="0.3">
      <c r="A81" s="7" t="s">
        <v>56</v>
      </c>
      <c r="B81" s="15"/>
      <c r="C81" s="15"/>
      <c r="D81" s="15"/>
      <c r="E81" s="15"/>
    </row>
    <row r="82" spans="1:5" x14ac:dyDescent="0.3">
      <c r="A82" t="s">
        <v>57</v>
      </c>
      <c r="B82" s="12">
        <f>+B22</f>
        <v>99803</v>
      </c>
      <c r="C82" s="12">
        <f>+C22</f>
        <v>94680</v>
      </c>
      <c r="D82" s="12">
        <f>+D22</f>
        <v>57411</v>
      </c>
      <c r="E82" s="12"/>
    </row>
    <row r="83" spans="1:5" x14ac:dyDescent="0.3">
      <c r="A83" s="11" t="s">
        <v>18</v>
      </c>
      <c r="B83" s="15"/>
      <c r="C83" s="15"/>
      <c r="D83" s="15"/>
      <c r="E83" s="15"/>
    </row>
    <row r="84" spans="1:5" x14ac:dyDescent="0.3">
      <c r="A84" s="1" t="s">
        <v>58</v>
      </c>
      <c r="B84" s="12"/>
      <c r="C84" s="12"/>
      <c r="D84" s="12"/>
      <c r="E84" s="12"/>
    </row>
    <row r="85" spans="1:5" x14ac:dyDescent="0.3">
      <c r="A85" s="3" t="s">
        <v>59</v>
      </c>
      <c r="B85" s="12">
        <v>11104</v>
      </c>
      <c r="C85" s="12">
        <v>11284</v>
      </c>
      <c r="D85" s="12">
        <v>11056</v>
      </c>
      <c r="E85" s="12"/>
    </row>
    <row r="86" spans="1:5" x14ac:dyDescent="0.3">
      <c r="A86" s="3" t="s">
        <v>83</v>
      </c>
      <c r="B86" s="12">
        <v>9038</v>
      </c>
      <c r="C86" s="12">
        <v>7906</v>
      </c>
      <c r="D86" s="12">
        <v>6829</v>
      </c>
      <c r="E86" s="12"/>
    </row>
    <row r="87" spans="1:5" x14ac:dyDescent="0.3">
      <c r="A87" s="3" t="s">
        <v>60</v>
      </c>
      <c r="B87" s="12">
        <v>895</v>
      </c>
      <c r="C87" s="12">
        <v>-4774</v>
      </c>
      <c r="D87" s="12">
        <v>-215</v>
      </c>
      <c r="E87" s="12"/>
    </row>
    <row r="88" spans="1:5" x14ac:dyDescent="0.3">
      <c r="A88" s="3" t="s">
        <v>61</v>
      </c>
      <c r="B88" s="12">
        <v>111</v>
      </c>
      <c r="C88" s="12">
        <v>-147</v>
      </c>
      <c r="D88" s="12">
        <v>-97</v>
      </c>
      <c r="E88" s="12"/>
    </row>
    <row r="89" spans="1:5" x14ac:dyDescent="0.3">
      <c r="A89" t="s">
        <v>62</v>
      </c>
      <c r="B89" s="12"/>
      <c r="C89" s="12"/>
      <c r="D89" s="12"/>
      <c r="E89" s="12"/>
    </row>
    <row r="90" spans="1:5" x14ac:dyDescent="0.3">
      <c r="A90" s="1" t="s">
        <v>28</v>
      </c>
      <c r="B90" s="12">
        <v>-1823</v>
      </c>
      <c r="C90" s="12">
        <v>-10125</v>
      </c>
      <c r="D90" s="12">
        <v>6917</v>
      </c>
      <c r="E90" s="12"/>
    </row>
    <row r="91" spans="1:5" x14ac:dyDescent="0.3">
      <c r="A91" s="1" t="s">
        <v>29</v>
      </c>
      <c r="B91" s="12">
        <v>1484</v>
      </c>
      <c r="C91" s="12">
        <v>-2642</v>
      </c>
      <c r="D91" s="12">
        <v>-127</v>
      </c>
      <c r="E91" s="12"/>
    </row>
    <row r="92" spans="1:5" x14ac:dyDescent="0.3">
      <c r="A92" s="1" t="s">
        <v>47</v>
      </c>
      <c r="B92" s="12">
        <v>-7520</v>
      </c>
      <c r="C92" s="12">
        <v>-3903</v>
      </c>
      <c r="D92" s="12">
        <v>1553</v>
      </c>
      <c r="E92" s="12"/>
    </row>
    <row r="93" spans="1:5" x14ac:dyDescent="0.3">
      <c r="A93" s="1" t="s">
        <v>84</v>
      </c>
      <c r="B93" s="12">
        <v>-6499</v>
      </c>
      <c r="C93" s="12">
        <v>-8042</v>
      </c>
      <c r="D93" s="12">
        <v>-9588</v>
      </c>
      <c r="E93" s="12"/>
    </row>
    <row r="94" spans="1:5" x14ac:dyDescent="0.3">
      <c r="A94" s="1" t="s">
        <v>35</v>
      </c>
      <c r="B94" s="12">
        <v>9448</v>
      </c>
      <c r="C94" s="12">
        <v>12326</v>
      </c>
      <c r="D94" s="12">
        <v>-4062</v>
      </c>
      <c r="E94" s="12"/>
    </row>
    <row r="95" spans="1:5" x14ac:dyDescent="0.3">
      <c r="A95" s="1" t="s">
        <v>37</v>
      </c>
      <c r="B95" s="12">
        <v>478</v>
      </c>
      <c r="C95" s="12">
        <v>1676</v>
      </c>
      <c r="D95" s="12">
        <v>2081</v>
      </c>
      <c r="E95" s="12"/>
    </row>
    <row r="96" spans="1:5" x14ac:dyDescent="0.3">
      <c r="A96" s="1" t="s">
        <v>85</v>
      </c>
      <c r="B96" s="12">
        <v>5632</v>
      </c>
      <c r="C96" s="12">
        <v>5799</v>
      </c>
      <c r="D96" s="12">
        <v>8916</v>
      </c>
      <c r="E96" s="12"/>
    </row>
    <row r="97" spans="1:5" x14ac:dyDescent="0.3">
      <c r="A97" s="8" t="s">
        <v>63</v>
      </c>
      <c r="B97" s="13">
        <f>+SUM(B82:B96)</f>
        <v>122151</v>
      </c>
      <c r="C97" s="13">
        <f t="shared" ref="C97:D97" si="30">+SUM(C82:C96)</f>
        <v>104038</v>
      </c>
      <c r="D97" s="13">
        <f t="shared" si="30"/>
        <v>80674</v>
      </c>
      <c r="E97" s="13"/>
    </row>
    <row r="98" spans="1:5" x14ac:dyDescent="0.3">
      <c r="A98" s="7" t="s">
        <v>64</v>
      </c>
      <c r="B98" s="12"/>
      <c r="C98" s="12"/>
      <c r="D98" s="12"/>
      <c r="E98" s="12"/>
    </row>
    <row r="99" spans="1:5" x14ac:dyDescent="0.3">
      <c r="A99" s="1" t="s">
        <v>65</v>
      </c>
      <c r="B99" s="12">
        <v>-76923</v>
      </c>
      <c r="C99" s="12">
        <v>-109558</v>
      </c>
      <c r="D99" s="12">
        <v>-114938</v>
      </c>
      <c r="E99" s="12"/>
    </row>
    <row r="100" spans="1:5" x14ac:dyDescent="0.3">
      <c r="A100" s="1" t="s">
        <v>66</v>
      </c>
      <c r="B100" s="12">
        <v>29917</v>
      </c>
      <c r="C100" s="12">
        <v>59023</v>
      </c>
      <c r="D100" s="12">
        <v>69918</v>
      </c>
      <c r="E100" s="12"/>
    </row>
    <row r="101" spans="1:5" x14ac:dyDescent="0.3">
      <c r="A101" s="1" t="s">
        <v>67</v>
      </c>
      <c r="B101" s="12">
        <v>37446</v>
      </c>
      <c r="C101" s="12">
        <v>47460</v>
      </c>
      <c r="D101" s="12">
        <v>50473</v>
      </c>
      <c r="E101" s="12"/>
    </row>
    <row r="102" spans="1:5" x14ac:dyDescent="0.3">
      <c r="A102" s="1" t="s">
        <v>68</v>
      </c>
      <c r="B102" s="12">
        <v>-10708</v>
      </c>
      <c r="C102" s="12">
        <v>-11085</v>
      </c>
      <c r="D102" s="12">
        <v>-7309</v>
      </c>
      <c r="E102" s="12"/>
    </row>
    <row r="103" spans="1:5" x14ac:dyDescent="0.3">
      <c r="A103" s="1" t="s">
        <v>69</v>
      </c>
      <c r="B103" s="12">
        <v>-306</v>
      </c>
      <c r="C103" s="12">
        <v>-33</v>
      </c>
      <c r="D103" s="12">
        <v>-1524</v>
      </c>
      <c r="E103" s="12"/>
    </row>
    <row r="104" spans="1:5" x14ac:dyDescent="0.3">
      <c r="A104" s="1" t="s">
        <v>61</v>
      </c>
      <c r="B104" s="12">
        <v>-1780</v>
      </c>
      <c r="C104" s="12">
        <v>-352</v>
      </c>
      <c r="D104" s="12">
        <v>-909</v>
      </c>
      <c r="E104" s="12"/>
    </row>
    <row r="105" spans="1:5" x14ac:dyDescent="0.3">
      <c r="A105" s="8" t="s">
        <v>70</v>
      </c>
      <c r="B105" s="13">
        <f>+SUM(B99:B104)</f>
        <v>-22354</v>
      </c>
      <c r="C105" s="13">
        <f t="shared" ref="C105:D105" si="31">+SUM(C99:C104)</f>
        <v>-14545</v>
      </c>
      <c r="D105" s="13">
        <f t="shared" si="31"/>
        <v>-4289</v>
      </c>
      <c r="E105" s="13"/>
    </row>
    <row r="106" spans="1:5" x14ac:dyDescent="0.3">
      <c r="A106" s="7" t="s">
        <v>71</v>
      </c>
      <c r="B106" s="12"/>
      <c r="C106" s="12"/>
      <c r="D106" s="12"/>
      <c r="E106" s="12"/>
    </row>
    <row r="107" spans="1:5" x14ac:dyDescent="0.3">
      <c r="A107" s="1" t="s">
        <v>86</v>
      </c>
      <c r="B107" s="12">
        <v>-6223</v>
      </c>
      <c r="C107" s="12">
        <v>-6556</v>
      </c>
      <c r="D107" s="12">
        <v>-3634</v>
      </c>
      <c r="E107" s="12"/>
    </row>
    <row r="108" spans="1:5" x14ac:dyDescent="0.3">
      <c r="A108" s="1" t="s">
        <v>72</v>
      </c>
      <c r="B108" s="12">
        <v>-14841</v>
      </c>
      <c r="C108" s="12">
        <v>-14467</v>
      </c>
      <c r="D108" s="12">
        <v>-14081</v>
      </c>
      <c r="E108" s="12"/>
    </row>
    <row r="109" spans="1:5" x14ac:dyDescent="0.3">
      <c r="A109" s="1" t="s">
        <v>73</v>
      </c>
      <c r="B109" s="12">
        <v>-89402</v>
      </c>
      <c r="C109" s="12">
        <v>-85971</v>
      </c>
      <c r="D109" s="12">
        <v>-72358</v>
      </c>
      <c r="E109" s="12"/>
    </row>
    <row r="110" spans="1:5" x14ac:dyDescent="0.3">
      <c r="A110" s="1" t="s">
        <v>74</v>
      </c>
      <c r="B110" s="12">
        <v>5465</v>
      </c>
      <c r="C110" s="12">
        <v>20393</v>
      </c>
      <c r="D110" s="12">
        <v>16091</v>
      </c>
      <c r="E110" s="12"/>
    </row>
    <row r="111" spans="1:5" x14ac:dyDescent="0.3">
      <c r="A111" s="1" t="s">
        <v>75</v>
      </c>
      <c r="B111" s="12">
        <v>-9543</v>
      </c>
      <c r="C111" s="12">
        <v>-8750</v>
      </c>
      <c r="D111" s="12">
        <v>-12629</v>
      </c>
      <c r="E111" s="12"/>
    </row>
    <row r="112" spans="1:5" x14ac:dyDescent="0.3">
      <c r="A112" s="1" t="s">
        <v>76</v>
      </c>
      <c r="B112" s="12">
        <v>3955</v>
      </c>
      <c r="C112" s="12">
        <v>1022</v>
      </c>
      <c r="D112" s="12">
        <v>-963</v>
      </c>
      <c r="E112" s="12"/>
    </row>
    <row r="113" spans="1:5" x14ac:dyDescent="0.3">
      <c r="A113" s="1" t="s">
        <v>61</v>
      </c>
      <c r="B113" s="12">
        <v>-160</v>
      </c>
      <c r="C113" s="12">
        <v>976</v>
      </c>
      <c r="D113" s="12">
        <v>754</v>
      </c>
      <c r="E113" s="12"/>
    </row>
    <row r="114" spans="1:5" x14ac:dyDescent="0.3">
      <c r="A114" s="8" t="s">
        <v>77</v>
      </c>
      <c r="B114" s="13">
        <f>+SUM(B107:B113)</f>
        <v>-110749</v>
      </c>
      <c r="C114" s="13">
        <f t="shared" ref="C114:D114" si="32">+SUM(C107:C113)</f>
        <v>-93353</v>
      </c>
      <c r="D114" s="13">
        <f t="shared" si="32"/>
        <v>-86820</v>
      </c>
      <c r="E114" s="13"/>
    </row>
    <row r="115" spans="1:5" x14ac:dyDescent="0.3">
      <c r="A115" s="8" t="s">
        <v>78</v>
      </c>
      <c r="B115" s="13">
        <f>+B97+B105+B114</f>
        <v>-10952</v>
      </c>
      <c r="C115" s="13">
        <f t="shared" ref="C115:D115" si="33">+C97+C105+C114</f>
        <v>-3860</v>
      </c>
      <c r="D115" s="13">
        <f t="shared" si="33"/>
        <v>-10435</v>
      </c>
      <c r="E115" s="13"/>
    </row>
    <row r="116" spans="1:5" ht="15" thickBot="1" x14ac:dyDescent="0.35">
      <c r="A116" s="9" t="s">
        <v>79</v>
      </c>
      <c r="B116" s="14">
        <v>24977</v>
      </c>
      <c r="C116" s="14">
        <v>35929</v>
      </c>
      <c r="D116" s="14">
        <v>39789</v>
      </c>
      <c r="E116" s="14"/>
    </row>
    <row r="117" spans="1:5" ht="15" thickTop="1" x14ac:dyDescent="0.3">
      <c r="B117" s="12"/>
      <c r="C117" s="12"/>
      <c r="D117" s="12"/>
      <c r="E117" s="12"/>
    </row>
    <row r="118" spans="1:5" x14ac:dyDescent="0.3">
      <c r="A118" t="s">
        <v>80</v>
      </c>
      <c r="B118" s="12"/>
      <c r="C118" s="12"/>
      <c r="D118" s="12"/>
      <c r="E118" s="12"/>
    </row>
    <row r="119" spans="1:5" x14ac:dyDescent="0.3">
      <c r="A119" t="s">
        <v>81</v>
      </c>
      <c r="B119" s="12">
        <v>19573</v>
      </c>
      <c r="C119" s="12">
        <v>25385</v>
      </c>
      <c r="D119" s="12">
        <v>9501</v>
      </c>
      <c r="E119" s="12"/>
    </row>
    <row r="120" spans="1:5" x14ac:dyDescent="0.3">
      <c r="A120" t="s">
        <v>82</v>
      </c>
      <c r="B120" s="12">
        <v>2865</v>
      </c>
      <c r="C120" s="12">
        <v>2687</v>
      </c>
      <c r="D120" s="12">
        <v>3002</v>
      </c>
      <c r="E120" s="12"/>
    </row>
    <row r="122" spans="1:5" x14ac:dyDescent="0.3">
      <c r="A122" t="s">
        <v>149</v>
      </c>
      <c r="B122" s="12">
        <v>2931</v>
      </c>
      <c r="C122" s="12">
        <v>2645</v>
      </c>
      <c r="D122" s="12">
        <v>2873</v>
      </c>
    </row>
  </sheetData>
  <mergeCells count="6">
    <mergeCell ref="B3:D3"/>
    <mergeCell ref="B32:D32"/>
    <mergeCell ref="B78:D78"/>
    <mergeCell ref="A2:D2"/>
    <mergeCell ref="A31:D31"/>
    <mergeCell ref="A77:D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3"/>
  <sheetViews>
    <sheetView workbookViewId="0"/>
  </sheetViews>
  <sheetFormatPr defaultRowHeight="14.4" x14ac:dyDescent="0.3"/>
  <cols>
    <col min="1" max="1" width="4.6640625" customWidth="1"/>
    <col min="2" max="2" width="51" bestFit="1" customWidth="1"/>
    <col min="3" max="3" width="12.5546875" bestFit="1" customWidth="1"/>
    <col min="4" max="4" width="10" bestFit="1" customWidth="1"/>
    <col min="5" max="5" width="10.109375" bestFit="1" customWidth="1"/>
    <col min="6" max="6" width="10.109375" customWidth="1"/>
    <col min="7" max="7" width="23.6640625" bestFit="1" customWidth="1"/>
    <col min="8" max="8" width="12.5546875" bestFit="1" customWidth="1"/>
    <col min="9" max="10" width="10.44140625" bestFit="1" customWidth="1"/>
  </cols>
  <sheetData>
    <row r="1" spans="1:11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3">
      <c r="C2" s="30" t="s">
        <v>23</v>
      </c>
      <c r="D2" s="30"/>
      <c r="E2" s="30"/>
      <c r="F2" s="23"/>
    </row>
    <row r="3" spans="1:11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</row>
    <row r="4" spans="1:11" x14ac:dyDescent="0.3">
      <c r="A4" s="18">
        <v>1</v>
      </c>
      <c r="B4" s="7" t="s">
        <v>99</v>
      </c>
    </row>
    <row r="5" spans="1:11" x14ac:dyDescent="0.3">
      <c r="A5" s="18">
        <f>+A4+0.1</f>
        <v>1.1000000000000001</v>
      </c>
      <c r="B5" s="1" t="s">
        <v>100</v>
      </c>
      <c r="C5" s="26">
        <f>'Financial Statements'!B42/'Financial Statements'!B56</f>
        <v>0.87935602862672257</v>
      </c>
      <c r="D5" s="26">
        <f>'Financial Statements'!C42/'Financial Statements'!C56</f>
        <v>1.0745531195957954</v>
      </c>
      <c r="E5" s="26">
        <f>'Financial Statements'!D42/'Financial Statements'!D56</f>
        <v>1.3636044481554577</v>
      </c>
      <c r="F5" s="26"/>
    </row>
    <row r="6" spans="1:11" x14ac:dyDescent="0.3">
      <c r="A6" s="18">
        <f t="shared" ref="A6:A13" si="0">+A5+0.1</f>
        <v>1.2000000000000002</v>
      </c>
      <c r="B6" s="1" t="s">
        <v>101</v>
      </c>
      <c r="C6" s="26">
        <f>('Financial Statements'!B42-'Financial Statements'!B39)/'Financial Statements'!B56</f>
        <v>0.84723539114961488</v>
      </c>
      <c r="D6" s="26">
        <f>('Financial Statements'!C42-'Financial Statements'!C39)/'Financial Statements'!C56</f>
        <v>1.0221149018576519</v>
      </c>
      <c r="E6" s="26">
        <f>('Financial Statements'!D42-'Financial Statements'!D39)/'Financial Statements'!D56</f>
        <v>1.325072111735236</v>
      </c>
      <c r="F6" s="26"/>
    </row>
    <row r="7" spans="1:11" x14ac:dyDescent="0.3">
      <c r="A7" s="18">
        <f t="shared" si="0"/>
        <v>1.3000000000000003</v>
      </c>
      <c r="B7" s="1" t="s">
        <v>102</v>
      </c>
      <c r="C7" s="26">
        <f>('Financial Statements'!B36+'Financial Statements'!B37)/'Financial Statements'!B56</f>
        <v>0.31369900377966253</v>
      </c>
      <c r="D7" s="26">
        <f>('Financial Statements'!C36+'Financial Statements'!C37)/'Financial Statements'!C56</f>
        <v>0.49919111259872012</v>
      </c>
      <c r="E7" s="26">
        <f>('Financial Statements'!D36+'Financial Statements'!D37)/'Financial Statements'!D56</f>
        <v>0.86290230757552755</v>
      </c>
      <c r="F7" s="26"/>
    </row>
    <row r="8" spans="1:11" x14ac:dyDescent="0.3">
      <c r="A8" s="18">
        <f t="shared" si="0"/>
        <v>1.4000000000000004</v>
      </c>
      <c r="B8" s="39" t="s">
        <v>103</v>
      </c>
      <c r="C8" s="28">
        <f>('Financial Statements'!B36+'Financial Statements'!B37+'Financial Statements'!B38+'Financial Statements'!B40)/(('Financial Statements'!B12+'Financial Statements'!B17-SUM('Financial Statements'!B85:B86))/365)</f>
        <v>156.51146815100353</v>
      </c>
      <c r="D8" s="28">
        <f>('Financial Statements'!C36+'Financial Statements'!C37+'Financial Statements'!C38+'Financial Statements'!C40)/(('Financial Statements'!C12+'Financial Statements'!C17-SUM('Financial Statements'!C85:C86))/365)</f>
        <v>175.2914657646059</v>
      </c>
      <c r="E8" s="28">
        <f>('Financial Statements'!D36+'Financial Statements'!D37+'Financial Statements'!D38+'Financial Statements'!D40)/(('Financial Statements'!D12+'Financial Statements'!D17-SUM('Financial Statements'!D85:D86))/365)</f>
        <v>246.19695075180465</v>
      </c>
      <c r="F8" s="28"/>
    </row>
    <row r="9" spans="1:11" x14ac:dyDescent="0.3">
      <c r="A9" s="18">
        <f t="shared" si="0"/>
        <v>1.5000000000000004</v>
      </c>
      <c r="B9" s="1" t="s">
        <v>104</v>
      </c>
      <c r="C9" s="28">
        <f>AVERAGE('Financial Statements'!B39:C39)/('Financial Statements'!B12/365)</f>
        <v>9.4096740715557434</v>
      </c>
      <c r="D9" s="28">
        <f>AVERAGE('Financial Statements'!C39:D39)/('Financial Statements'!C12/365)</f>
        <v>9.1181020842234766</v>
      </c>
      <c r="E9" s="28">
        <f>AVERAGE('Financial Statements'!D39:E39)/('Financial Statements'!D12/365)</f>
        <v>8.7903178244740765</v>
      </c>
      <c r="F9" s="28"/>
    </row>
    <row r="10" spans="1:11" x14ac:dyDescent="0.3">
      <c r="A10" s="18">
        <f t="shared" si="0"/>
        <v>1.6000000000000005</v>
      </c>
      <c r="B10" s="1" t="s">
        <v>105</v>
      </c>
      <c r="C10" s="28">
        <f>AVERAGE('Financial Statements'!B51:C51)/('Financial Statements'!B12/365)</f>
        <v>97.050428099809437</v>
      </c>
      <c r="D10" s="28">
        <f>AVERAGE('Financial Statements'!C51:D51)/('Financial Statements'!C12/365)</f>
        <v>83.168299050150011</v>
      </c>
      <c r="E10" s="28">
        <f>AVERAGE('Financial Statements'!D51:E51)/('Financial Statements'!D12/365)</f>
        <v>95.288896490307209</v>
      </c>
      <c r="F10" s="28"/>
    </row>
    <row r="11" spans="1:11" x14ac:dyDescent="0.3">
      <c r="A11" s="18">
        <f t="shared" si="0"/>
        <v>1.7000000000000006</v>
      </c>
      <c r="B11" s="1" t="s">
        <v>106</v>
      </c>
      <c r="C11" s="28">
        <f>AVERAGE('Financial Statements'!B38:C38)/('Financial Statements'!B8/365)</f>
        <v>25.205704388225033</v>
      </c>
      <c r="D11" s="28">
        <f>AVERAGE('Financial Statements'!C38:D38)/('Financial Statements'!C8/365)</f>
        <v>21.151655062503927</v>
      </c>
      <c r="E11" s="28">
        <f>AVERAGE('Financial Statements'!D38:E38)/('Financial Statements'!D8/365)</f>
        <v>25.958126149755024</v>
      </c>
      <c r="F11" s="28"/>
    </row>
    <row r="12" spans="1:11" x14ac:dyDescent="0.3">
      <c r="A12" s="18">
        <f t="shared" si="0"/>
        <v>1.8000000000000007</v>
      </c>
      <c r="B12" s="1" t="s">
        <v>107</v>
      </c>
      <c r="C12" s="28">
        <f>C11+C9-C10</f>
        <v>-62.435049640028659</v>
      </c>
      <c r="D12" s="28">
        <f t="shared" ref="D12:E12" si="1">D11+D9-D10</f>
        <v>-52.898541903422611</v>
      </c>
      <c r="E12" s="28">
        <f t="shared" si="1"/>
        <v>-60.540452516078105</v>
      </c>
      <c r="F12" s="28"/>
    </row>
    <row r="13" spans="1:11" x14ac:dyDescent="0.3">
      <c r="A13" s="18">
        <f t="shared" si="0"/>
        <v>1.9000000000000008</v>
      </c>
      <c r="B13" s="1" t="s">
        <v>108</v>
      </c>
      <c r="C13" s="29">
        <f>C14/'Financial Statements'!B8</f>
        <v>-4.711052727678481E-2</v>
      </c>
      <c r="D13" s="29">
        <f>D14/'Financial Statements'!C8</f>
        <v>2.557289573748623E-2</v>
      </c>
      <c r="E13" s="29">
        <f>E14/'Financial Statements'!D8</f>
        <v>0.13959528623208203</v>
      </c>
      <c r="F13" s="29"/>
    </row>
    <row r="14" spans="1:11" x14ac:dyDescent="0.3">
      <c r="A14" s="18"/>
      <c r="B14" s="3" t="s">
        <v>109</v>
      </c>
      <c r="C14" s="12">
        <f>'Financial Statements'!B42-'Financial Statements'!B56</f>
        <v>-18577</v>
      </c>
      <c r="D14" s="12">
        <f>'Financial Statements'!C42-'Financial Statements'!C56</f>
        <v>9355</v>
      </c>
      <c r="E14" s="12">
        <f>'Financial Statements'!D42-'Financial Statements'!D56</f>
        <v>38321</v>
      </c>
      <c r="F14" s="12"/>
    </row>
    <row r="15" spans="1:11" x14ac:dyDescent="0.3">
      <c r="A15" s="18"/>
    </row>
    <row r="16" spans="1:11" x14ac:dyDescent="0.3">
      <c r="A16" s="18">
        <f>+A4+1</f>
        <v>2</v>
      </c>
      <c r="B16" s="17" t="s">
        <v>110</v>
      </c>
    </row>
    <row r="17" spans="1:11" x14ac:dyDescent="0.3">
      <c r="A17" s="18">
        <f>+A16+0.1</f>
        <v>2.1</v>
      </c>
      <c r="B17" s="1" t="s">
        <v>9</v>
      </c>
      <c r="C17" s="29">
        <f>'Financial Statements'!B13/'Financial Statements'!B8</f>
        <v>0.43309630561360085</v>
      </c>
      <c r="D17" s="29">
        <f>'Financial Statements'!C13/'Financial Statements'!C8</f>
        <v>0.41779359625167778</v>
      </c>
      <c r="E17" s="29">
        <f>'Financial Statements'!D13/'Financial Statements'!D8</f>
        <v>0.38233247727810865</v>
      </c>
      <c r="F17" s="29"/>
    </row>
    <row r="18" spans="1:11" x14ac:dyDescent="0.3">
      <c r="A18" s="18">
        <f>+A17+0.1</f>
        <v>2.2000000000000002</v>
      </c>
      <c r="B18" s="1" t="s">
        <v>111</v>
      </c>
      <c r="C18" s="29">
        <f>C19/'Financial Statements'!B8</f>
        <v>0.3310467428130896</v>
      </c>
      <c r="D18" s="29">
        <f>D19/'Financial Statements'!C8</f>
        <v>0.32866979938056462</v>
      </c>
      <c r="E18" s="29">
        <f>E19/'Financial Statements'!D8</f>
        <v>0.2817478097736007</v>
      </c>
      <c r="F18" s="29"/>
    </row>
    <row r="19" spans="1:11" x14ac:dyDescent="0.3">
      <c r="A19" s="18"/>
      <c r="B19" s="3" t="s">
        <v>112</v>
      </c>
      <c r="C19" s="12">
        <f>'Financial Statements'!B18+'Financial Statements'!B85</f>
        <v>130541</v>
      </c>
      <c r="D19" s="12">
        <f>'Financial Statements'!C18+'Financial Statements'!C85</f>
        <v>120233</v>
      </c>
      <c r="E19" s="12">
        <f>'Financial Statements'!D18+'Financial Statements'!D85</f>
        <v>77344</v>
      </c>
      <c r="F19" s="12"/>
      <c r="G19" s="12"/>
    </row>
    <row r="20" spans="1:11" x14ac:dyDescent="0.3">
      <c r="A20" s="18">
        <f>+A18+0.1</f>
        <v>2.3000000000000003</v>
      </c>
      <c r="B20" s="1" t="s">
        <v>113</v>
      </c>
      <c r="C20" s="29">
        <f>C21/'Financial Statements'!B8</f>
        <v>0.30288744395528594</v>
      </c>
      <c r="D20" s="29">
        <f>D21/'Financial Statements'!C8</f>
        <v>0.29782377527561593</v>
      </c>
      <c r="E20" s="29">
        <f>E21/'Financial Statements'!D8</f>
        <v>0.24147314354406862</v>
      </c>
      <c r="F20" s="29"/>
    </row>
    <row r="21" spans="1:11" x14ac:dyDescent="0.3">
      <c r="A21" s="18"/>
      <c r="B21" s="3" t="s">
        <v>114</v>
      </c>
      <c r="C21" s="12">
        <f>'Financial Statements'!B18</f>
        <v>119437</v>
      </c>
      <c r="D21" s="12">
        <f>'Financial Statements'!C18</f>
        <v>108949</v>
      </c>
      <c r="E21" s="12">
        <f>'Financial Statements'!D18</f>
        <v>66288</v>
      </c>
      <c r="F21" s="12"/>
      <c r="G21" s="12"/>
    </row>
    <row r="22" spans="1:11" x14ac:dyDescent="0.3">
      <c r="A22" s="18">
        <f>+A20+0.1</f>
        <v>2.4000000000000004</v>
      </c>
      <c r="B22" s="1" t="s">
        <v>115</v>
      </c>
      <c r="C22" s="29">
        <f>'Financial Statements'!B22/'Financial Statements'!B8</f>
        <v>0.25309640705199732</v>
      </c>
      <c r="D22" s="29">
        <f>'Financial Statements'!C22/'Financial Statements'!C8</f>
        <v>0.25881793355694238</v>
      </c>
      <c r="E22" s="29">
        <f>'Financial Statements'!D22/'Financial Statements'!D8</f>
        <v>0.20913611278072236</v>
      </c>
      <c r="F22" s="29"/>
    </row>
    <row r="23" spans="1:11" x14ac:dyDescent="0.3">
      <c r="A23" s="18"/>
    </row>
    <row r="24" spans="1:11" x14ac:dyDescent="0.3">
      <c r="A24" s="18">
        <f>+A16+1</f>
        <v>3</v>
      </c>
      <c r="B24" s="7" t="s">
        <v>116</v>
      </c>
    </row>
    <row r="25" spans="1:11" x14ac:dyDescent="0.3">
      <c r="A25" s="18">
        <f>+A24+0.1</f>
        <v>3.1</v>
      </c>
      <c r="B25" s="1" t="s">
        <v>117</v>
      </c>
      <c r="C25" s="28">
        <f>('Financial Statements'!B54+'Financial Statements'!B55+'Financial Statements'!B59)/'Financial Statements'!B68</f>
        <v>2.3695334701610355</v>
      </c>
      <c r="D25" s="28">
        <f>('Financial Statements'!C54+'Financial Statements'!C55+'Financial Statements'!C59)/'Financial Statements'!C68</f>
        <v>1.9768426058012363</v>
      </c>
      <c r="E25" s="28">
        <f>('Financial Statements'!D54+'Financial Statements'!D55+'Financial Statements'!D59)/'Financial Statements'!D68</f>
        <v>1.7208099297509909</v>
      </c>
      <c r="F25" s="28"/>
    </row>
    <row r="26" spans="1:11" x14ac:dyDescent="0.3">
      <c r="A26" s="18">
        <f t="shared" ref="A26:A30" si="2">+A25+0.1</f>
        <v>3.2</v>
      </c>
      <c r="B26" s="1" t="s">
        <v>118</v>
      </c>
      <c r="C26" s="28">
        <f>('Financial Statements'!B54+'Financial Statements'!B55+'Financial Statements'!B59)/'Financial Statements'!B48</f>
        <v>0.34037504783773442</v>
      </c>
      <c r="D26" s="28">
        <f>('Financial Statements'!C54+'Financial Statements'!C55+'Financial Statements'!C59)/'Financial Statements'!C48</f>
        <v>0.35532276169366556</v>
      </c>
      <c r="E26" s="28">
        <f>('Financial Statements'!D54+'Financial Statements'!D55+'Financial Statements'!D59)/'Financial Statements'!D48</f>
        <v>0.34714469199229364</v>
      </c>
      <c r="F26" s="28"/>
    </row>
    <row r="27" spans="1:11" x14ac:dyDescent="0.3">
      <c r="A27" s="18">
        <f t="shared" si="2"/>
        <v>3.3000000000000003</v>
      </c>
      <c r="B27" s="1" t="s">
        <v>119</v>
      </c>
      <c r="C27" s="28">
        <f>'Financial Statements'!B59/('Financial Statements'!B68+'Financial Statements'!B59)</f>
        <v>0.66135359651409131</v>
      </c>
      <c r="D27" s="28">
        <f>'Financial Statements'!C59/('Financial Statements'!C68+'Financial Statements'!C59)</f>
        <v>0.63361518269878514</v>
      </c>
      <c r="E27" s="28">
        <f>'Financial Statements'!D59/('Financial Statements'!D68+'Financial Statements'!D59)</f>
        <v>0.60160603880345842</v>
      </c>
      <c r="F27" s="28"/>
    </row>
    <row r="28" spans="1:11" x14ac:dyDescent="0.3">
      <c r="A28" s="18">
        <f t="shared" si="2"/>
        <v>3.4000000000000004</v>
      </c>
      <c r="B28" s="39" t="s">
        <v>120</v>
      </c>
      <c r="C28" s="35">
        <f>C21/'Financial Statements'!B122</f>
        <v>40.749573524394407</v>
      </c>
      <c r="D28" s="35">
        <f>D21/'Financial Statements'!C122</f>
        <v>41.190548204158787</v>
      </c>
      <c r="E28" s="35">
        <f>E21/'Financial Statements'!D122</f>
        <v>23.072746258266619</v>
      </c>
      <c r="F28" s="35"/>
      <c r="G28" s="25"/>
    </row>
    <row r="29" spans="1:11" x14ac:dyDescent="0.3">
      <c r="A29" s="18">
        <f t="shared" si="2"/>
        <v>3.5000000000000004</v>
      </c>
      <c r="B29" s="39" t="s">
        <v>121</v>
      </c>
      <c r="C29" s="35">
        <f>(C19-'Financial Statements'!B119)/(SUM('Financial Statements'!B54,'Financial Statements'!B55,'Financial Statements'!B122))</f>
        <v>4.6157813734869597</v>
      </c>
      <c r="D29" s="35">
        <f>(D19-'Financial Statements'!C119)/(SUM('Financial Statements'!C54,'Financial Statements'!C55,'Financial Statements'!C122))</f>
        <v>5.1948734801183045</v>
      </c>
      <c r="E29" s="35">
        <f>(E19-'Financial Statements'!D119)/(SUM('Financial Statements'!D54,'Financial Statements'!D55,'Financial Statements'!D122))</f>
        <v>4.076613387813965</v>
      </c>
      <c r="F29" s="35"/>
    </row>
    <row r="30" spans="1:11" x14ac:dyDescent="0.3">
      <c r="A30" s="18">
        <f t="shared" si="2"/>
        <v>3.6000000000000005</v>
      </c>
      <c r="B30" s="1" t="s">
        <v>122</v>
      </c>
      <c r="C30" s="34">
        <f>C31/('Financial Statements'!B27/1000)</f>
        <v>7.2903471721044255</v>
      </c>
      <c r="D30" s="34">
        <f>D31/('Financial Statements'!C27/1000)</f>
        <v>6.5472258639940719</v>
      </c>
      <c r="E30" s="34">
        <f>E31/('Financial Statements'!D27/1000)</f>
        <v>4.7147555869113162</v>
      </c>
      <c r="F30" s="34"/>
      <c r="H30" s="24"/>
      <c r="I30" s="24"/>
      <c r="J30" s="24"/>
    </row>
    <row r="31" spans="1:11" x14ac:dyDescent="0.3">
      <c r="A31" s="18"/>
      <c r="B31" s="41" t="s">
        <v>123</v>
      </c>
      <c r="C31" s="24">
        <f>H36</f>
        <v>118220</v>
      </c>
      <c r="D31" s="24">
        <f t="shared" ref="D31:E31" si="3">I36</f>
        <v>109347</v>
      </c>
      <c r="E31" s="24">
        <f t="shared" si="3"/>
        <v>81811</v>
      </c>
      <c r="F31" s="24"/>
      <c r="G31" t="s">
        <v>164</v>
      </c>
      <c r="H31" s="12">
        <f>'Financial Statements'!B22</f>
        <v>99803</v>
      </c>
      <c r="I31" s="12">
        <f>'Financial Statements'!C22</f>
        <v>94680</v>
      </c>
      <c r="J31" s="12">
        <f>'Financial Statements'!D22</f>
        <v>57411</v>
      </c>
      <c r="K31" s="12"/>
    </row>
    <row r="32" spans="1:11" x14ac:dyDescent="0.3">
      <c r="A32" s="18"/>
      <c r="G32" t="s">
        <v>160</v>
      </c>
      <c r="H32" s="12">
        <f>SUM('Financial Statements'!B85:B88)</f>
        <v>21148</v>
      </c>
      <c r="I32" s="12">
        <f>SUM('Financial Statements'!C85:C88)</f>
        <v>14269</v>
      </c>
      <c r="J32" s="12">
        <f>SUM('Financial Statements'!D85:D88)</f>
        <v>17573</v>
      </c>
      <c r="K32" s="12"/>
    </row>
    <row r="33" spans="1:11" x14ac:dyDescent="0.3">
      <c r="A33" s="18"/>
      <c r="G33" t="s">
        <v>161</v>
      </c>
      <c r="H33" s="12">
        <f>-'Financial Statements'!B74</f>
        <v>8100</v>
      </c>
      <c r="I33" s="12">
        <f>-'Financial Statements'!C74</f>
        <v>-1182</v>
      </c>
      <c r="J33" s="12">
        <f>-'Financial Statements'!D74</f>
        <v>11637</v>
      </c>
      <c r="K33" s="12"/>
    </row>
    <row r="34" spans="1:11" x14ac:dyDescent="0.3">
      <c r="A34" s="18"/>
      <c r="G34" t="s">
        <v>162</v>
      </c>
      <c r="H34" s="12">
        <f>'Financial Statements'!B102</f>
        <v>-10708</v>
      </c>
      <c r="I34" s="12">
        <f>'Financial Statements'!C102</f>
        <v>-11085</v>
      </c>
      <c r="J34" s="12">
        <f>'Financial Statements'!D102</f>
        <v>-7309</v>
      </c>
      <c r="K34" s="12"/>
    </row>
    <row r="35" spans="1:11" x14ac:dyDescent="0.3">
      <c r="A35" s="18"/>
      <c r="G35" t="s">
        <v>163</v>
      </c>
      <c r="H35" s="12">
        <f>SUM('Financial Statements'!B110:B112)</f>
        <v>-123</v>
      </c>
      <c r="I35" s="12">
        <f>SUM('Financial Statements'!C110:C112)</f>
        <v>12665</v>
      </c>
      <c r="J35" s="12">
        <f>SUM('Financial Statements'!D110:D112)</f>
        <v>2499</v>
      </c>
      <c r="K35" s="12"/>
    </row>
    <row r="36" spans="1:11" s="7" customFormat="1" x14ac:dyDescent="0.3">
      <c r="A36" s="40"/>
      <c r="G36" s="7" t="s">
        <v>123</v>
      </c>
      <c r="H36" s="37">
        <f>SUM(H31:H35)</f>
        <v>118220</v>
      </c>
      <c r="I36" s="37">
        <f t="shared" ref="I36:J36" si="4">SUM(I31:I35)</f>
        <v>109347</v>
      </c>
      <c r="J36" s="37">
        <f t="shared" si="4"/>
        <v>81811</v>
      </c>
    </row>
    <row r="37" spans="1:11" x14ac:dyDescent="0.3">
      <c r="A37" s="18"/>
    </row>
    <row r="38" spans="1:11" x14ac:dyDescent="0.3">
      <c r="A38" s="18">
        <f>+A24+1</f>
        <v>4</v>
      </c>
      <c r="B38" s="17" t="s">
        <v>124</v>
      </c>
    </row>
    <row r="39" spans="1:11" x14ac:dyDescent="0.3">
      <c r="A39" s="18">
        <f>+A38+0.1</f>
        <v>4.0999999999999996</v>
      </c>
      <c r="B39" s="1" t="s">
        <v>125</v>
      </c>
      <c r="C39" s="28">
        <f>'Financial Statements'!B8/AVERAGE('Financial Statements'!B48:C48)</f>
        <v>1.1206368107173357</v>
      </c>
      <c r="D39" s="28">
        <f>'Financial Statements'!C8/AVERAGE('Financial Statements'!C48:D48)</f>
        <v>1.084078886929722</v>
      </c>
      <c r="E39" s="28">
        <f>'Financial Statements'!D8/AVERAGE('Financial Statements'!D48:E48)</f>
        <v>0.82884463258072116</v>
      </c>
      <c r="F39" s="28"/>
    </row>
    <row r="40" spans="1:11" x14ac:dyDescent="0.3">
      <c r="A40" s="18">
        <f t="shared" ref="A40:A42" si="5">+A39+0.1</f>
        <v>4.1999999999999993</v>
      </c>
      <c r="B40" s="1" t="s">
        <v>126</v>
      </c>
      <c r="C40" s="28">
        <f>'Financial Statements'!B8/AVERAGE('Financial Statements'!B45:C45)</f>
        <v>9.6699976703409884</v>
      </c>
      <c r="D40" s="28">
        <f>'Financial Statements'!C8/AVERAGE('Financial Statements'!C45:D45)</f>
        <v>9.6007400992047867</v>
      </c>
      <c r="E40" s="28">
        <f>'Financial Statements'!D8/AVERAGE('Financial Statements'!D45:E45)</f>
        <v>7.4049147604661201</v>
      </c>
      <c r="F40" s="28"/>
    </row>
    <row r="41" spans="1:11" x14ac:dyDescent="0.3">
      <c r="A41" s="18">
        <f t="shared" si="5"/>
        <v>4.2999999999999989</v>
      </c>
      <c r="B41" s="1" t="s">
        <v>127</v>
      </c>
      <c r="C41" s="28">
        <f>'Financial Statements'!B12/AVERAGE('Financial Statements'!B39:C39)</f>
        <v>38.789866389033492</v>
      </c>
      <c r="D41" s="28">
        <f>'Financial Statements'!C12/AVERAGE('Financial Statements'!C39:D39)</f>
        <v>40.030260313880277</v>
      </c>
      <c r="E41" s="28">
        <f>'Financial Statements'!D12/AVERAGE('Financial Statements'!D39:E39)</f>
        <v>41.52295824660218</v>
      </c>
      <c r="F41" s="28"/>
    </row>
    <row r="42" spans="1:11" x14ac:dyDescent="0.3">
      <c r="A42" s="18">
        <f t="shared" si="5"/>
        <v>4.3999999999999986</v>
      </c>
      <c r="B42" s="1" t="s">
        <v>128</v>
      </c>
      <c r="C42" s="36">
        <f>'Financial Statements'!B22/AVERAGE('Financial Statements'!B48:C48)</f>
        <v>0.28362915040276687</v>
      </c>
      <c r="D42" s="36">
        <f>'Financial Statements'!C22/AVERAGE('Financial Statements'!C48:D48)</f>
        <v>0.28057905732786081</v>
      </c>
      <c r="E42" s="36">
        <f>'Financial Statements'!D22/AVERAGE('Financial Statements'!D48:E48)</f>
        <v>0.1733413445570981</v>
      </c>
      <c r="F42" s="36"/>
    </row>
    <row r="43" spans="1:11" x14ac:dyDescent="0.3">
      <c r="A43" s="18"/>
      <c r="H43" s="30" t="s">
        <v>151</v>
      </c>
      <c r="I43" s="30"/>
      <c r="J43" s="30"/>
    </row>
    <row r="44" spans="1:11" x14ac:dyDescent="0.3">
      <c r="A44" s="18">
        <f>+A38+1</f>
        <v>5</v>
      </c>
      <c r="B44" s="17" t="s">
        <v>129</v>
      </c>
      <c r="H44" s="32">
        <v>44828</v>
      </c>
      <c r="I44" s="32">
        <v>44464</v>
      </c>
      <c r="J44" s="33">
        <v>44100</v>
      </c>
    </row>
    <row r="45" spans="1:11" x14ac:dyDescent="0.3">
      <c r="A45" s="18">
        <f>+A44+0.1</f>
        <v>5.0999999999999996</v>
      </c>
      <c r="B45" s="1" t="s">
        <v>152</v>
      </c>
      <c r="C45" s="26">
        <f>H45/C46</f>
        <v>24.460162601626017</v>
      </c>
      <c r="D45" s="26">
        <f>I45/D46</f>
        <v>25.911816578483243</v>
      </c>
      <c r="E45" s="26">
        <f>J45/E46</f>
        <v>33.9214501510574</v>
      </c>
      <c r="F45" s="26"/>
      <c r="H45">
        <v>150.43</v>
      </c>
      <c r="I45">
        <v>146.91999999999999</v>
      </c>
      <c r="J45">
        <v>112.28</v>
      </c>
    </row>
    <row r="46" spans="1:11" x14ac:dyDescent="0.3">
      <c r="A46" s="18">
        <f t="shared" ref="A46:A49" si="6">+A45+0.1</f>
        <v>5.1999999999999993</v>
      </c>
      <c r="B46" s="3" t="s">
        <v>130</v>
      </c>
      <c r="C46" s="34">
        <f>'Financial Statements'!B24</f>
        <v>6.15</v>
      </c>
      <c r="D46" s="34">
        <f>'Financial Statements'!C24</f>
        <v>5.67</v>
      </c>
      <c r="E46" s="34">
        <f>'Financial Statements'!D24</f>
        <v>3.31</v>
      </c>
      <c r="F46" s="34"/>
    </row>
    <row r="47" spans="1:11" x14ac:dyDescent="0.3">
      <c r="A47" s="18">
        <f t="shared" si="6"/>
        <v>5.2999999999999989</v>
      </c>
      <c r="B47" s="1" t="s">
        <v>131</v>
      </c>
      <c r="C47" s="26">
        <f>H45/C48</f>
        <v>48.140340110712032</v>
      </c>
      <c r="D47" s="26">
        <f>I45/D48</f>
        <v>38.892865465842448</v>
      </c>
      <c r="E47" s="26">
        <f>J45/E48</f>
        <v>29.8182696600805</v>
      </c>
      <c r="F47" s="26"/>
    </row>
    <row r="48" spans="1:11" x14ac:dyDescent="0.3">
      <c r="A48" s="18">
        <f t="shared" si="6"/>
        <v>5.3999999999999986</v>
      </c>
      <c r="B48" s="3" t="s">
        <v>132</v>
      </c>
      <c r="C48" s="34">
        <f>'Financial Statements'!B68/('Financial Statements'!B27/1000)</f>
        <v>3.1248221274308534</v>
      </c>
      <c r="D48" s="34">
        <f>'Financial Statements'!C68/('Financial Statements'!C27/1000)</f>
        <v>3.7775565837141025</v>
      </c>
      <c r="E48" s="34">
        <f>'Financial Statements'!D68/('Financial Statements'!D27/1000)</f>
        <v>3.7654767120949324</v>
      </c>
      <c r="F48" s="34"/>
    </row>
    <row r="49" spans="1:10" x14ac:dyDescent="0.3">
      <c r="A49" s="18">
        <f t="shared" si="6"/>
        <v>5.4999999999999982</v>
      </c>
      <c r="B49" s="1" t="s">
        <v>133</v>
      </c>
      <c r="C49" s="29">
        <f>-'Financial Statements'!B108/'Financial Statements'!B22</f>
        <v>0.14870294480125848</v>
      </c>
      <c r="D49" s="29">
        <f>-'Financial Statements'!C108/'Financial Statements'!C22</f>
        <v>0.15279890156316012</v>
      </c>
      <c r="E49" s="29">
        <f>-'Financial Statements'!D108/'Financial Statements'!D22</f>
        <v>0.24526658654264863</v>
      </c>
      <c r="F49" s="29"/>
    </row>
    <row r="50" spans="1:10" x14ac:dyDescent="0.3">
      <c r="A50" s="18"/>
      <c r="B50" s="3" t="s">
        <v>134</v>
      </c>
      <c r="C50" s="34">
        <f>-'Financial Statements'!B108/('Financial Statements'!B27/1000)</f>
        <v>0.91520929099307891</v>
      </c>
      <c r="D50" s="34">
        <f>-'Financial Statements'!C108/('Financial Statements'!C27/1000)</f>
        <v>0.86622144708498849</v>
      </c>
      <c r="E50" s="34">
        <f>-'Financial Statements'!D108/('Financial Statements'!D27/1000)</f>
        <v>0.81148590555424394</v>
      </c>
      <c r="F50" s="34"/>
    </row>
    <row r="51" spans="1:10" x14ac:dyDescent="0.3">
      <c r="A51" s="18">
        <f>+A49+0.1</f>
        <v>5.5999999999999979</v>
      </c>
      <c r="B51" s="1" t="s">
        <v>135</v>
      </c>
      <c r="C51" s="29">
        <f>C50/H45</f>
        <v>6.0839546034240433E-3</v>
      </c>
      <c r="D51" s="29">
        <f>D50/I45</f>
        <v>5.8958715429144335E-3</v>
      </c>
      <c r="E51" s="29">
        <f>E50/J45</f>
        <v>7.2273415172269678E-3</v>
      </c>
      <c r="F51" s="29"/>
    </row>
    <row r="52" spans="1:10" x14ac:dyDescent="0.3">
      <c r="A52" s="18">
        <f t="shared" ref="A52:A55" si="7">+A50+0.1</f>
        <v>0.1</v>
      </c>
      <c r="B52" s="1" t="s">
        <v>136</v>
      </c>
      <c r="C52" s="29">
        <f>'Financial Statements'!B22/AVERAGE('Financial Statements'!B68:C68)</f>
        <v>1.7545929220653644</v>
      </c>
      <c r="D52" s="29">
        <f>'Financial Statements'!C22/AVERAGE('Financial Statements'!C68:D68)</f>
        <v>1.4744333444938449</v>
      </c>
      <c r="E52" s="29">
        <f>'Financial Statements'!D22/AVERAGE('Financial Statements'!D68:E68)</f>
        <v>0.73685561552234213</v>
      </c>
      <c r="F52" s="29"/>
    </row>
    <row r="53" spans="1:10" x14ac:dyDescent="0.3">
      <c r="A53" s="18">
        <f t="shared" si="7"/>
        <v>5.6999999999999975</v>
      </c>
      <c r="B53" s="1" t="s">
        <v>137</v>
      </c>
      <c r="C53" s="29">
        <f>'List of Ratios'!C21/AVERAGE(('Financial Statements'!B48-'Financial Statements'!B56),('Financial Statements'!C48-'Financial Statements'!C56))</f>
        <v>0.56299169915200309</v>
      </c>
      <c r="D53" s="29">
        <f>'List of Ratios'!D21/AVERAGE(('Financial Statements'!C48-'Financial Statements'!C56),('Financial Statements'!D48-'Financial Statements'!D56))</f>
        <v>0.49074247157203438</v>
      </c>
      <c r="E53" s="29">
        <f>'List of Ratios'!E21/AVERAGE(('Financial Statements'!D48-'Financial Statements'!D56),('Financial Statements'!E48-'Financial Statements'!E56))</f>
        <v>0.29376858544540807</v>
      </c>
      <c r="F53" s="29"/>
    </row>
    <row r="54" spans="1:10" x14ac:dyDescent="0.3">
      <c r="A54" s="18">
        <f t="shared" si="7"/>
        <v>0.2</v>
      </c>
      <c r="B54" s="1" t="s">
        <v>128</v>
      </c>
      <c r="C54" s="29">
        <f>C42</f>
        <v>0.28362915040276687</v>
      </c>
      <c r="D54" s="29">
        <f t="shared" ref="D54:E54" si="8">D42</f>
        <v>0.28057905732786081</v>
      </c>
      <c r="E54" s="29">
        <f t="shared" si="8"/>
        <v>0.1733413445570981</v>
      </c>
      <c r="F54" s="29"/>
    </row>
    <row r="55" spans="1:10" x14ac:dyDescent="0.3">
      <c r="A55" s="18">
        <f t="shared" si="7"/>
        <v>5.7999999999999972</v>
      </c>
      <c r="B55" s="1" t="s">
        <v>138</v>
      </c>
      <c r="C55" s="26">
        <f>C56/C19</f>
        <v>19.236349607326435</v>
      </c>
      <c r="D55" s="26">
        <f t="shared" ref="D55:E55" si="9">D56/D19</f>
        <v>20.924628697944822</v>
      </c>
      <c r="E55" s="26">
        <f t="shared" si="9"/>
        <v>25.467895652151427</v>
      </c>
      <c r="F55" s="26"/>
    </row>
    <row r="56" spans="1:10" x14ac:dyDescent="0.3">
      <c r="A56" s="18"/>
      <c r="B56" s="3" t="s">
        <v>139</v>
      </c>
      <c r="C56" s="12">
        <f>H59</f>
        <v>2511132.31409</v>
      </c>
      <c r="D56" s="12">
        <f t="shared" ref="D56:E56" si="10">I59</f>
        <v>2515830.8822399997</v>
      </c>
      <c r="E56" s="12">
        <f t="shared" si="10"/>
        <v>1969788.92132</v>
      </c>
      <c r="F56" s="12"/>
      <c r="G56" t="s">
        <v>153</v>
      </c>
      <c r="H56" s="12">
        <f>H45*('Financial Statements'!B27/1000)</f>
        <v>2439367.31409</v>
      </c>
      <c r="I56" s="12">
        <f>I45*('Financial Statements'!C27/1000)</f>
        <v>2453750.8822399997</v>
      </c>
      <c r="J56" s="12">
        <f>J45*('Financial Statements'!D27/1000)</f>
        <v>1948295.92132</v>
      </c>
    </row>
    <row r="57" spans="1:10" x14ac:dyDescent="0.3">
      <c r="G57" t="s">
        <v>154</v>
      </c>
      <c r="H57" s="12">
        <f>'Financial Statements'!B54+'Financial Statements'!B55+'Financial Statements'!B59</f>
        <v>120069</v>
      </c>
      <c r="I57" s="12">
        <f>'Financial Statements'!C54+'Financial Statements'!C55+'Financial Statements'!C59</f>
        <v>124719</v>
      </c>
      <c r="J57" s="12">
        <f>'Financial Statements'!D54+'Financial Statements'!D55+'Financial Statements'!D59</f>
        <v>112436</v>
      </c>
    </row>
    <row r="58" spans="1:10" x14ac:dyDescent="0.3">
      <c r="G58" t="s">
        <v>155</v>
      </c>
      <c r="H58" s="12">
        <f>'Financial Statements'!B36+'Financial Statements'!B37</f>
        <v>48304</v>
      </c>
      <c r="I58" s="12">
        <f>'Financial Statements'!C36+'Financial Statements'!C37</f>
        <v>62639</v>
      </c>
      <c r="J58" s="12">
        <f>'Financial Statements'!D36+'Financial Statements'!D37</f>
        <v>90943</v>
      </c>
    </row>
    <row r="59" spans="1:10" x14ac:dyDescent="0.3">
      <c r="G59" s="7" t="s">
        <v>156</v>
      </c>
      <c r="H59" s="37">
        <f>H56+H57-H58</f>
        <v>2511132.31409</v>
      </c>
      <c r="I59" s="37">
        <f t="shared" ref="I59:J59" si="11">I56+I57-I58</f>
        <v>2515830.8822399997</v>
      </c>
      <c r="J59" s="37">
        <f t="shared" si="11"/>
        <v>1969788.92132</v>
      </c>
    </row>
    <row r="60" spans="1:10" x14ac:dyDescent="0.3">
      <c r="H60" s="12"/>
    </row>
    <row r="61" spans="1:10" x14ac:dyDescent="0.3">
      <c r="A61" s="18">
        <v>6</v>
      </c>
      <c r="B61" s="17" t="s">
        <v>150</v>
      </c>
    </row>
    <row r="62" spans="1:10" x14ac:dyDescent="0.3">
      <c r="A62" s="18">
        <f>+A61+0.1</f>
        <v>6.1</v>
      </c>
      <c r="B62" t="s">
        <v>144</v>
      </c>
    </row>
    <row r="63" spans="1:10" x14ac:dyDescent="0.3">
      <c r="A63" s="18"/>
      <c r="B63" s="1" t="str">
        <f>'Financial Statements'!A6</f>
        <v>Products</v>
      </c>
      <c r="C63" s="29">
        <f>'Financial Statements'!B6/'Financial Statements'!C6-1</f>
        <v>6.3239764351428418E-2</v>
      </c>
      <c r="D63" s="29">
        <f>'Financial Statements'!C6/'Financial Statements'!D6-1</f>
        <v>0.34720743656765429</v>
      </c>
      <c r="E63" s="29">
        <f>'Financial Statements'!D6/'Financial Statements'!E6-1</f>
        <v>3.2092312151970948E-2</v>
      </c>
      <c r="F63" s="29"/>
    </row>
    <row r="64" spans="1:10" x14ac:dyDescent="0.3">
      <c r="A64" s="18"/>
      <c r="B64" s="1" t="str">
        <f>'Financial Statements'!A7</f>
        <v>Services</v>
      </c>
      <c r="C64" s="29">
        <f>'Financial Statements'!B7/'Financial Statements'!C7-1</f>
        <v>0.14181951041286078</v>
      </c>
      <c r="D64" s="29">
        <f>'Financial Statements'!C7/'Financial Statements'!D7-1</f>
        <v>0.27259708376729663</v>
      </c>
      <c r="E64" s="29">
        <f>'Financial Statements'!D7/'Financial Statements'!E7-1</f>
        <v>0.16152167807997242</v>
      </c>
      <c r="F64" s="29"/>
    </row>
    <row r="65" spans="1:6" x14ac:dyDescent="0.3">
      <c r="A65" s="18"/>
      <c r="B65" s="1" t="str">
        <f>'Financial Statements'!A8</f>
        <v>Total net sales</v>
      </c>
      <c r="C65" s="29">
        <f>'Financial Statements'!B8/'Financial Statements'!C8-1</f>
        <v>7.7937876041846099E-2</v>
      </c>
      <c r="D65" s="29">
        <f>'Financial Statements'!C8/'Financial Statements'!D8-1</f>
        <v>0.33259384733074704</v>
      </c>
      <c r="E65" s="29">
        <f>'Financial Statements'!D8/'Financial Statements'!E8-1</f>
        <v>5.5120803769784787E-2</v>
      </c>
      <c r="F65" s="29"/>
    </row>
    <row r="66" spans="1:6" x14ac:dyDescent="0.3">
      <c r="A66" s="18">
        <f>+A62+0.1</f>
        <v>6.1999999999999993</v>
      </c>
      <c r="B66" t="s">
        <v>89</v>
      </c>
      <c r="C66" s="29">
        <f>'Financial Statements'!B13/'Financial Statements'!C13-1</f>
        <v>0.1174199795859614</v>
      </c>
      <c r="D66" s="29">
        <f>'Financial Statements'!C13/'Financial Statements'!D13-1</f>
        <v>0.45619116582186825</v>
      </c>
      <c r="E66" s="29">
        <f>'Financial Statements'!D13/'Financial Statements'!E13-1</f>
        <v>6.6712740873241749E-2</v>
      </c>
      <c r="F66" s="29"/>
    </row>
    <row r="67" spans="1:6" x14ac:dyDescent="0.3">
      <c r="A67" s="18">
        <f t="shared" ref="A67" si="12">+A66+0.1</f>
        <v>6.2999999999999989</v>
      </c>
      <c r="B67" t="s">
        <v>90</v>
      </c>
    </row>
    <row r="68" spans="1:6" x14ac:dyDescent="0.3">
      <c r="A68" s="18"/>
      <c r="B68" s="1" t="str">
        <f>'Financial Statements'!A15</f>
        <v>Research and development</v>
      </c>
      <c r="C68" s="29">
        <f>'Financial Statements'!B15/'Financial Statements'!C15-1</f>
        <v>0.19791001186456136</v>
      </c>
      <c r="D68" s="29">
        <f>'Financial Statements'!C15/'Financial Statements'!D15-1</f>
        <v>0.16862201365187723</v>
      </c>
      <c r="E68" s="29">
        <f>'Financial Statements'!D15/'Financial Statements'!E15-1</f>
        <v>0.15631744465684161</v>
      </c>
      <c r="F68" s="29"/>
    </row>
    <row r="69" spans="1:6" x14ac:dyDescent="0.3">
      <c r="A69" s="18"/>
      <c r="B69" s="1" t="str">
        <f>'Financial Statements'!A16</f>
        <v>Selling, general and administrative</v>
      </c>
      <c r="C69" s="29">
        <f>'Financial Statements'!B16/'Financial Statements'!C16-1</f>
        <v>0.14203795567287125</v>
      </c>
      <c r="D69" s="29">
        <f>'Financial Statements'!C16/'Financial Statements'!D16-1</f>
        <v>0.10328379192608961</v>
      </c>
      <c r="E69" s="29">
        <f>'Financial Statements'!D16/'Financial Statements'!E16-1</f>
        <v>9.1586736092080123E-2</v>
      </c>
      <c r="F69" s="29"/>
    </row>
    <row r="70" spans="1:6" x14ac:dyDescent="0.3">
      <c r="A70" s="18">
        <f>+A67+0.1</f>
        <v>6.3999999999999986</v>
      </c>
      <c r="B70" s="38" t="s">
        <v>91</v>
      </c>
    </row>
    <row r="71" spans="1:6" x14ac:dyDescent="0.3">
      <c r="A71" s="18"/>
      <c r="B71" s="39" t="s">
        <v>26</v>
      </c>
      <c r="C71" s="29">
        <f>('Financial Statements'!B36+'Financial Statements'!B37)/('Financial Statements'!C36+'Financial Statements'!C37)-1</f>
        <v>-0.2288510352974984</v>
      </c>
      <c r="D71" s="29">
        <f>('Financial Statements'!C36+'Financial Statements'!C37)/('Financial Statements'!D36+'Financial Statements'!D37)-1</f>
        <v>-0.31122791198882815</v>
      </c>
      <c r="E71" s="29">
        <f>('Financial Statements'!D36+'Financial Statements'!D37)/('Financial Statements'!E36+'Financial Statements'!E37)-1</f>
        <v>-9.560746641208473E-2</v>
      </c>
      <c r="F71" s="29"/>
    </row>
    <row r="72" spans="1:6" x14ac:dyDescent="0.3">
      <c r="A72" s="18"/>
      <c r="B72" s="39" t="s">
        <v>28</v>
      </c>
      <c r="C72" s="29">
        <f>'Financial Statements'!B38/'Financial Statements'!C38-1</f>
        <v>7.2532156176269069E-2</v>
      </c>
      <c r="D72" s="29">
        <f>'Financial Statements'!C38/'Financial Statements'!D38-1</f>
        <v>0.63014888337468977</v>
      </c>
      <c r="E72" s="29">
        <f>'Financial Statements'!D38/'Financial Statements'!E38-1</f>
        <v>-0.29686818459391084</v>
      </c>
      <c r="F72" s="29"/>
    </row>
    <row r="73" spans="1:6" x14ac:dyDescent="0.3">
      <c r="A73" s="18"/>
      <c r="B73" s="39" t="s">
        <v>29</v>
      </c>
      <c r="C73" s="29">
        <f>'Financial Statements'!B39/'Financial Statements'!C39-1</f>
        <v>-0.2483282674772036</v>
      </c>
      <c r="D73" s="29">
        <f>'Financial Statements'!C39/'Financial Statements'!D39-1</f>
        <v>0.62029056882541256</v>
      </c>
      <c r="E73" s="29">
        <f>'Financial Statements'!D39/'Financial Statements'!E39-1</f>
        <v>-1.0959571358986842E-2</v>
      </c>
      <c r="F73" s="29"/>
    </row>
    <row r="74" spans="1:6" x14ac:dyDescent="0.3">
      <c r="A74" s="18"/>
      <c r="B74" s="39" t="s">
        <v>32</v>
      </c>
      <c r="C74" s="29">
        <f>'Financial Statements'!B45/'Financial Statements'!C45-1</f>
        <v>6.7875253549695813E-2</v>
      </c>
      <c r="D74" s="29">
        <f>'Financial Statements'!C45/'Financial Statements'!D45-1</f>
        <v>7.2730239895555604E-2</v>
      </c>
      <c r="E74" s="29">
        <f>'Financial Statements'!D45/'Financial Statements'!E45-1</f>
        <v>-1.6373267697576077E-2</v>
      </c>
      <c r="F74" s="29"/>
    </row>
    <row r="75" spans="1:6" x14ac:dyDescent="0.3">
      <c r="A75" s="18"/>
      <c r="B75" s="39" t="s">
        <v>35</v>
      </c>
      <c r="C75" s="29">
        <f>'Financial Statements'!B51/'Financial Statements'!C51-1</f>
        <v>0.17077223672917841</v>
      </c>
      <c r="D75" s="29">
        <f>'Financial Statements'!C51/'Financial Statements'!D51-1</f>
        <v>0.29475600529600898</v>
      </c>
      <c r="E75" s="29">
        <f>'Financial Statements'!D51/'Financial Statements'!E51-1</f>
        <v>-8.5214983995155258E-2</v>
      </c>
      <c r="F75" s="29"/>
    </row>
    <row r="76" spans="1:6" x14ac:dyDescent="0.3">
      <c r="A76" s="18"/>
      <c r="B76" s="39" t="s">
        <v>158</v>
      </c>
      <c r="C76" s="29">
        <f>'Financial Statements'!B55/'Financial Statements'!C55-1</f>
        <v>0.157599084572974</v>
      </c>
      <c r="D76" s="29">
        <f>'Financial Statements'!C55/'Financial Statements'!D55-1</f>
        <v>9.5748318705118018E-2</v>
      </c>
      <c r="E76" s="29">
        <f>'Financial Statements'!D55/'Financial Statements'!E55-1</f>
        <v>-0.14493177387914224</v>
      </c>
      <c r="F76" s="29"/>
    </row>
    <row r="77" spans="1:6" x14ac:dyDescent="0.3">
      <c r="A77" s="18"/>
      <c r="B77" s="39" t="s">
        <v>159</v>
      </c>
      <c r="C77" s="29">
        <f>'Financial Statements'!B59/'Financial Statements'!C59-1</f>
        <v>-9.3001301486627663E-2</v>
      </c>
      <c r="D77" s="29">
        <f>'Financial Statements'!C59/'Financial Statements'!D59-1</f>
        <v>0.10580031824216807</v>
      </c>
      <c r="E77" s="29">
        <f>'Financial Statements'!D59/'Financial Statements'!E59-1</f>
        <v>7.4721971091529005E-2</v>
      </c>
      <c r="F77" s="29"/>
    </row>
    <row r="78" spans="1:6" x14ac:dyDescent="0.3">
      <c r="A78" s="18"/>
      <c r="B78" s="39" t="s">
        <v>45</v>
      </c>
      <c r="C78" s="29">
        <f>'Financial Statements'!B68/'Financial Statements'!C68-1</f>
        <v>-0.19682992550324929</v>
      </c>
      <c r="D78" s="29">
        <f>'Financial Statements'!C68/'Financial Statements'!D68-1</f>
        <v>-3.4420483937617652E-2</v>
      </c>
      <c r="E78" s="29">
        <f>'Financial Statements'!D68/'Financial Statements'!E68-1</f>
        <v>-0.27792635487578465</v>
      </c>
      <c r="F78" s="29"/>
    </row>
    <row r="80" spans="1:6" s="7" customFormat="1" x14ac:dyDescent="0.3">
      <c r="A80" s="18">
        <v>7</v>
      </c>
      <c r="B80" s="7" t="s">
        <v>157</v>
      </c>
    </row>
    <row r="81" spans="1:6" x14ac:dyDescent="0.3">
      <c r="A81" s="18">
        <f t="shared" ref="A81:A87" si="13">+A80+0.1</f>
        <v>7.1</v>
      </c>
      <c r="B81" t="s">
        <v>145</v>
      </c>
      <c r="C81" s="29">
        <f>'Financial Statements'!B12/'Financial Statements'!B8</f>
        <v>0.56690369438639909</v>
      </c>
      <c r="D81" s="29">
        <f>'Financial Statements'!C12/'Financial Statements'!C8</f>
        <v>0.58220640374832222</v>
      </c>
      <c r="E81" s="29">
        <f>'Financial Statements'!D12/'Financial Statements'!D8</f>
        <v>0.61766752272189129</v>
      </c>
      <c r="F81" s="29"/>
    </row>
    <row r="82" spans="1:6" x14ac:dyDescent="0.3">
      <c r="A82" s="18">
        <f t="shared" si="13"/>
        <v>7.1999999999999993</v>
      </c>
      <c r="B82" t="s">
        <v>89</v>
      </c>
      <c r="C82" s="29">
        <f>'Financial Statements'!B13/'Financial Statements'!B8</f>
        <v>0.43309630561360085</v>
      </c>
      <c r="D82" s="29">
        <f>'Financial Statements'!C13/'Financial Statements'!C8</f>
        <v>0.41779359625167778</v>
      </c>
      <c r="E82" s="29">
        <f>'Financial Statements'!D13/'Financial Statements'!D8</f>
        <v>0.38233247727810865</v>
      </c>
      <c r="F82" s="29"/>
    </row>
    <row r="83" spans="1:6" x14ac:dyDescent="0.3">
      <c r="A83" s="18">
        <f t="shared" si="13"/>
        <v>7.2999999999999989</v>
      </c>
      <c r="B83" t="s">
        <v>90</v>
      </c>
    </row>
    <row r="84" spans="1:6" x14ac:dyDescent="0.3">
      <c r="A84" s="18"/>
      <c r="B84" s="1" t="str">
        <f>'Financial Statements'!A15</f>
        <v>Research and development</v>
      </c>
      <c r="C84" s="29">
        <f>'Financial Statements'!B15/'Financial Statements'!B8</f>
        <v>6.657148363798665E-2</v>
      </c>
      <c r="D84" s="29">
        <f>'Financial Statements'!C15/'Financial Statements'!C8</f>
        <v>5.9904269074427925E-2</v>
      </c>
      <c r="E84" s="29">
        <f>'Financial Statements'!D15/'Financial Statements'!D8</f>
        <v>6.8309564140393061E-2</v>
      </c>
      <c r="F84" s="29"/>
    </row>
    <row r="85" spans="1:6" x14ac:dyDescent="0.3">
      <c r="A85" s="18"/>
      <c r="B85" s="1" t="str">
        <f>'Financial Statements'!A16</f>
        <v>Selling, general and administrative</v>
      </c>
      <c r="C85" s="29">
        <f>'Financial Statements'!B16/'Financial Statements'!B8</f>
        <v>6.3637378020328261E-2</v>
      </c>
      <c r="D85" s="29">
        <f>'Financial Statements'!C16/'Financial Statements'!C8</f>
        <v>6.006555190163388E-2</v>
      </c>
      <c r="E85" s="29">
        <f>'Financial Statements'!D16/'Financial Statements'!D8</f>
        <v>7.2549769593646979E-2</v>
      </c>
      <c r="F85" s="29"/>
    </row>
    <row r="86" spans="1:6" x14ac:dyDescent="0.3">
      <c r="A86" s="18">
        <f>+A83+0.1</f>
        <v>7.3999999999999986</v>
      </c>
      <c r="B86" t="s">
        <v>14</v>
      </c>
      <c r="C86" s="29">
        <f>'Financial Statements'!B18/'Financial Statements'!B8</f>
        <v>0.30288744395528594</v>
      </c>
      <c r="D86" s="29">
        <f>'Financial Statements'!C18/'Financial Statements'!C8</f>
        <v>0.29782377527561593</v>
      </c>
      <c r="E86" s="29">
        <f>'Financial Statements'!D18/'Financial Statements'!D8</f>
        <v>0.24147314354406862</v>
      </c>
      <c r="F86" s="29"/>
    </row>
    <row r="87" spans="1:6" x14ac:dyDescent="0.3">
      <c r="A87" s="18">
        <f t="shared" si="13"/>
        <v>7.4999999999999982</v>
      </c>
      <c r="B87" t="s">
        <v>93</v>
      </c>
      <c r="C87" s="29">
        <f>'Financial Statements'!B22/'Financial Statements'!B8</f>
        <v>0.25309640705199732</v>
      </c>
      <c r="D87" s="29">
        <f>'Financial Statements'!C22/'Financial Statements'!C8</f>
        <v>0.25881793355694238</v>
      </c>
      <c r="E87" s="29">
        <f>'Financial Statements'!D22/'Financial Statements'!D8</f>
        <v>0.20913611278072236</v>
      </c>
      <c r="F87" s="29"/>
    </row>
    <row r="88" spans="1:6" x14ac:dyDescent="0.3">
      <c r="A88" s="18"/>
      <c r="C88" s="29"/>
      <c r="D88" s="29"/>
      <c r="E88" s="29"/>
      <c r="F88" s="29"/>
    </row>
    <row r="89" spans="1:6" x14ac:dyDescent="0.3">
      <c r="A89" s="18">
        <v>7</v>
      </c>
      <c r="B89" t="s">
        <v>94</v>
      </c>
      <c r="C89" s="29">
        <f>'Financial Statements'!B21/'Financial Statements'!B20</f>
        <v>0.16204461684424407</v>
      </c>
      <c r="D89" s="29">
        <f>'Financial Statements'!C21/'Financial Statements'!C20</f>
        <v>0.13302260844085087</v>
      </c>
      <c r="E89" s="29">
        <f>'Financial Statements'!D21/'Financial Statements'!D20</f>
        <v>0.14428164731484103</v>
      </c>
      <c r="F89" s="29"/>
    </row>
    <row r="90" spans="1:6" x14ac:dyDescent="0.3">
      <c r="A90" s="18"/>
    </row>
    <row r="91" spans="1:6" x14ac:dyDescent="0.3">
      <c r="A91" s="18">
        <f>A89+1</f>
        <v>8</v>
      </c>
      <c r="B91" t="s">
        <v>95</v>
      </c>
      <c r="C91" s="29">
        <f>-'Financial Statements'!B102/'Financial Statements'!B8</f>
        <v>2.7155058732831552E-2</v>
      </c>
      <c r="D91" s="29">
        <f>-'Financial Statements'!C102/'Financial Statements'!C8</f>
        <v>3.0302036264033657E-2</v>
      </c>
      <c r="E91" s="29">
        <f>-'Financial Statements'!D102/'Financial Statements'!D8</f>
        <v>2.6625138881299748E-2</v>
      </c>
      <c r="F91" s="29"/>
    </row>
    <row r="92" spans="1:6" x14ac:dyDescent="0.3">
      <c r="A92" s="18"/>
    </row>
    <row r="93" spans="1:6" x14ac:dyDescent="0.3">
      <c r="A93" s="18">
        <f>A91+1</f>
        <v>9</v>
      </c>
      <c r="B93" t="s">
        <v>96</v>
      </c>
      <c r="C93" s="29">
        <f>-'Financial Statements'!B102/'Financial Statements'!B45</f>
        <v>0.25424412944891611</v>
      </c>
      <c r="D93" s="29">
        <f>-'Financial Statements'!C102/'Financial Statements'!C45</f>
        <v>0.28105983772819471</v>
      </c>
      <c r="E93" s="29">
        <f>-'Financial Statements'!D102/'Financial Statements'!D45</f>
        <v>0.19879780231735844</v>
      </c>
      <c r="F93" s="29"/>
    </row>
  </sheetData>
  <mergeCells count="2">
    <mergeCell ref="C2:E2"/>
    <mergeCell ref="H43:J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Sachin Dugar</cp:lastModifiedBy>
  <dcterms:created xsi:type="dcterms:W3CDTF">2020-05-18T16:32:37Z</dcterms:created>
  <dcterms:modified xsi:type="dcterms:W3CDTF">2024-09-05T06:20:49Z</dcterms:modified>
</cp:coreProperties>
</file>