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Investment Analyst Program_Quill Capital Partners\Amazon\"/>
    </mc:Choice>
  </mc:AlternateContent>
  <xr:revisionPtr revIDLastSave="0" documentId="13_ncr:1_{918BCCAE-2317-4241-A8B2-1334012B4C9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3" l="1"/>
  <c r="I52" i="3"/>
  <c r="I54" i="3" s="1"/>
  <c r="D51" i="3" s="1"/>
  <c r="D50" i="3" s="1"/>
  <c r="H52" i="3"/>
  <c r="E29" i="3"/>
  <c r="D29" i="3"/>
  <c r="E26" i="3"/>
  <c r="D26" i="3"/>
  <c r="C26" i="3"/>
  <c r="E25" i="3"/>
  <c r="D25" i="3"/>
  <c r="C25" i="3"/>
  <c r="J54" i="3"/>
  <c r="E51" i="3" s="1"/>
  <c r="E50" i="3" s="1"/>
  <c r="H54" i="3"/>
  <c r="C51" i="3" s="1"/>
  <c r="C50" i="3" s="1"/>
  <c r="J53" i="3"/>
  <c r="I53" i="3"/>
  <c r="H53" i="3"/>
  <c r="J51" i="3"/>
  <c r="I51" i="3"/>
  <c r="H51" i="3"/>
  <c r="E49" i="3"/>
  <c r="D49" i="3"/>
  <c r="C49" i="3"/>
  <c r="E48" i="3"/>
  <c r="D48" i="3"/>
  <c r="C48" i="3"/>
  <c r="E47" i="3"/>
  <c r="D47" i="3"/>
  <c r="C47" i="3"/>
  <c r="E42" i="3"/>
  <c r="D42" i="3"/>
  <c r="C42" i="3"/>
  <c r="E43" i="3"/>
  <c r="D43" i="3"/>
  <c r="C43" i="3"/>
  <c r="E40" i="3"/>
  <c r="D40" i="3"/>
  <c r="C40" i="3"/>
  <c r="E41" i="3"/>
  <c r="D41" i="3"/>
  <c r="C41" i="3"/>
  <c r="E37" i="3"/>
  <c r="D37" i="3"/>
  <c r="C37" i="3"/>
  <c r="E36" i="3"/>
  <c r="D36" i="3"/>
  <c r="C36" i="3"/>
  <c r="E35" i="3"/>
  <c r="D35" i="3"/>
  <c r="C35" i="3"/>
  <c r="E34" i="3"/>
  <c r="D34" i="3"/>
  <c r="C34" i="3"/>
  <c r="D30" i="3"/>
  <c r="E30" i="3"/>
  <c r="C30" i="3"/>
  <c r="E31" i="3"/>
  <c r="D31" i="3"/>
  <c r="C31" i="3"/>
  <c r="J36" i="3"/>
  <c r="I36" i="3"/>
  <c r="H36" i="3"/>
  <c r="J35" i="3"/>
  <c r="I35" i="3"/>
  <c r="H35" i="3"/>
  <c r="J34" i="3"/>
  <c r="I34" i="3"/>
  <c r="H34" i="3"/>
  <c r="J33" i="3"/>
  <c r="I33" i="3"/>
  <c r="H33" i="3"/>
  <c r="E72" i="2"/>
  <c r="D72" i="2"/>
  <c r="C72" i="2"/>
  <c r="E71" i="2"/>
  <c r="D71" i="2"/>
  <c r="C71" i="2"/>
  <c r="B71" i="2"/>
  <c r="E69" i="2"/>
  <c r="D69" i="2"/>
  <c r="C69" i="2"/>
  <c r="E70" i="2"/>
  <c r="D70" i="2"/>
  <c r="C70" i="2"/>
  <c r="B70" i="2"/>
  <c r="B69" i="2"/>
  <c r="J32" i="3"/>
  <c r="I32" i="3"/>
  <c r="H32" i="3"/>
  <c r="E10" i="3"/>
  <c r="D10" i="3"/>
  <c r="C10" i="3"/>
  <c r="E9" i="3"/>
  <c r="D9" i="3"/>
  <c r="C9" i="3"/>
  <c r="B1" i="3"/>
  <c r="E3" i="3"/>
  <c r="D3" i="3"/>
  <c r="C3" i="3"/>
  <c r="B77" i="2" l="1"/>
  <c r="C66" i="2"/>
  <c r="B66" i="2"/>
  <c r="E66" i="2"/>
  <c r="D66" i="2"/>
  <c r="C53" i="2"/>
  <c r="C7" i="3" s="1"/>
  <c r="B53" i="2"/>
  <c r="E53" i="2"/>
  <c r="E7" i="3" s="1"/>
  <c r="D53" i="2"/>
  <c r="D7" i="3" s="1"/>
  <c r="C40" i="2"/>
  <c r="B40" i="2"/>
  <c r="B46" i="2" s="1"/>
  <c r="E40" i="2"/>
  <c r="D40" i="2"/>
  <c r="B29" i="2"/>
  <c r="B28" i="2"/>
  <c r="B20" i="2"/>
  <c r="B15" i="2"/>
  <c r="B7" i="2"/>
  <c r="B34" i="2"/>
  <c r="E108" i="2"/>
  <c r="D108" i="2"/>
  <c r="C108" i="2"/>
  <c r="E99" i="2"/>
  <c r="D99" i="2"/>
  <c r="C99" i="2"/>
  <c r="E92" i="2"/>
  <c r="D92" i="2"/>
  <c r="C92" i="2"/>
  <c r="E77" i="2"/>
  <c r="D77" i="2"/>
  <c r="C77" i="2"/>
  <c r="E14" i="3" l="1"/>
  <c r="E5" i="3"/>
  <c r="E6" i="3"/>
  <c r="E27" i="3"/>
  <c r="C46" i="2"/>
  <c r="C6" i="3"/>
  <c r="C14" i="3"/>
  <c r="C5" i="3"/>
  <c r="C27" i="3"/>
  <c r="D110" i="2"/>
  <c r="D111" i="2" s="1"/>
  <c r="B16" i="2"/>
  <c r="B21" i="2" s="1"/>
  <c r="B24" i="2" s="1"/>
  <c r="B25" i="2" s="1"/>
  <c r="D6" i="3"/>
  <c r="D14" i="3"/>
  <c r="D5" i="3"/>
  <c r="D27" i="3"/>
  <c r="E67" i="2"/>
  <c r="E110" i="2"/>
  <c r="E111" i="2" s="1"/>
  <c r="B67" i="2"/>
  <c r="C67" i="2"/>
  <c r="D67" i="2"/>
  <c r="C110" i="2"/>
  <c r="C111" i="2" s="1"/>
  <c r="E46" i="2"/>
  <c r="D46" i="2"/>
  <c r="E20" i="2"/>
  <c r="D20" i="2"/>
  <c r="C20" i="2"/>
  <c r="E15" i="2"/>
  <c r="E8" i="3" s="1"/>
  <c r="D15" i="2"/>
  <c r="D8" i="3" s="1"/>
  <c r="C15" i="2"/>
  <c r="C8" i="3" s="1"/>
  <c r="E7" i="2"/>
  <c r="D7" i="2"/>
  <c r="C7" i="2"/>
  <c r="E34" i="2"/>
  <c r="D34" i="2"/>
  <c r="C34" i="2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C13" i="3" l="1"/>
  <c r="B26" i="2"/>
  <c r="D17" i="3"/>
  <c r="D11" i="3"/>
  <c r="D12" i="3" s="1"/>
  <c r="E17" i="3"/>
  <c r="E11" i="3"/>
  <c r="E12" i="3" s="1"/>
  <c r="D13" i="3"/>
  <c r="C17" i="3"/>
  <c r="C11" i="3"/>
  <c r="C12" i="3" s="1"/>
  <c r="E13" i="3"/>
  <c r="E16" i="2"/>
  <c r="D16" i="2"/>
  <c r="C16" i="2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C21" i="2" l="1"/>
  <c r="C24" i="2" s="1"/>
  <c r="H31" i="3" s="1"/>
  <c r="C21" i="3"/>
  <c r="C19" i="3"/>
  <c r="D21" i="2"/>
  <c r="D24" i="2" s="1"/>
  <c r="I31" i="3" s="1"/>
  <c r="D19" i="3"/>
  <c r="D21" i="3"/>
  <c r="E21" i="2"/>
  <c r="E24" i="2" s="1"/>
  <c r="J31" i="3" s="1"/>
  <c r="E19" i="3"/>
  <c r="E21" i="3"/>
  <c r="C26" i="2"/>
  <c r="A34" i="3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  <c r="C18" i="3" l="1"/>
  <c r="C29" i="3"/>
  <c r="E18" i="3"/>
  <c r="D18" i="3"/>
  <c r="E28" i="3"/>
  <c r="E20" i="3"/>
  <c r="D25" i="2"/>
  <c r="D22" i="3"/>
  <c r="D26" i="2"/>
  <c r="E25" i="2"/>
  <c r="E22" i="3"/>
  <c r="E26" i="2"/>
  <c r="D20" i="3"/>
  <c r="D28" i="3"/>
  <c r="C20" i="3"/>
  <c r="C28" i="3"/>
  <c r="C25" i="2"/>
  <c r="C22" i="3"/>
</calcChain>
</file>

<file path=xl/sharedStrings.xml><?xml version="1.0" encoding="utf-8"?>
<sst xmlns="http://schemas.openxmlformats.org/spreadsheetml/2006/main" count="187" uniqueCount="164">
  <si>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</si>
  <si>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</si>
  <si>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</si>
  <si>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</si>
  <si>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</si>
  <si>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</si>
  <si>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</si>
  <si>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</si>
  <si>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</si>
  <si>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</si>
  <si>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</si>
  <si>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</si>
  <si>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</si>
  <si>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</si>
  <si>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</si>
  <si>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</si>
  <si>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</si>
  <si>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</si>
  <si>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</si>
  <si>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</si>
  <si>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</si>
  <si>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</si>
  <si>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</si>
  <si>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</si>
  <si>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</si>
  <si>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</si>
  <si>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</si>
  <si>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</si>
  <si>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</si>
  <si>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</si>
  <si>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</si>
  <si>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</si>
  <si>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</si>
  <si>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</si>
  <si>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</si>
  <si>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</si>
  <si>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</si>
  <si>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</si>
  <si>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</si>
  <si>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</si>
  <si>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</si>
  <si>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</si>
  <si>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</si>
  <si>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</si>
  <si>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</si>
  <si>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</si>
  <si>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</si>
  <si>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</si>
  <si>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</si>
  <si>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</si>
  <si>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</si>
  <si>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</si>
  <si>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</si>
  <si>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</si>
  <si>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</si>
  <si>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</si>
  <si>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</si>
  <si>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</si>
  <si>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</si>
  <si>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</si>
  <si>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</si>
  <si>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</si>
  <si>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Cash and cash equivalents</t>
  </si>
  <si>
    <t>Marketable securities</t>
  </si>
  <si>
    <t>Inventories</t>
  </si>
  <si>
    <t>Accounts receivable, net and other</t>
  </si>
  <si>
    <t>Total current assets</t>
  </si>
  <si>
    <t>Property and equipment, net</t>
  </si>
  <si>
    <t>Operating leases</t>
  </si>
  <si>
    <t>Goodwill</t>
  </si>
  <si>
    <t>Other assets</t>
  </si>
  <si>
    <t>Total assets</t>
  </si>
  <si>
    <t>LIABILITIES AND STOCKHOLDERS’ EQUITY</t>
  </si>
  <si>
    <t>Current liabilities:</t>
  </si>
  <si>
    <t>Accounts payable</t>
  </si>
  <si>
    <t>Accrued expenses and other</t>
  </si>
  <si>
    <t>Unearned revenue</t>
  </si>
  <si>
    <t>Total current liabilities</t>
  </si>
  <si>
    <t>Long-term lease liabilities</t>
  </si>
  <si>
    <t>Long-term debt</t>
  </si>
  <si>
    <t>Other long-term liabilities</t>
  </si>
  <si>
    <t>Commitments and contingencies (Note 7)</t>
  </si>
  <si>
    <t>Stockholders’ equity:</t>
  </si>
  <si>
    <t>Preferred stock ($0.01 par value; 500 shares authorized; no shares issued or outstanding)</t>
  </si>
  <si>
    <t>—</t>
  </si>
  <si>
    <t>Common stock ($0.01 par value; 100,000 shares authorized; 10,644 and 10,757 shares issued; 10,175 and 10,242 shares outstanding)</t>
  </si>
  <si>
    <t>Treasury stock, at cost</t>
  </si>
  <si>
    <t>Additional paid-in capital</t>
  </si>
  <si>
    <t>Accumulated other comprehensive income (loss)</t>
  </si>
  <si>
    <t>Retained earnings</t>
  </si>
  <si>
    <t>Total stockholders’ equity</t>
  </si>
  <si>
    <t>Total liabilities and stockholders’ equity</t>
  </si>
  <si>
    <t>Current Assets</t>
  </si>
  <si>
    <t>Total net sales</t>
  </si>
  <si>
    <t>Operating expenses:</t>
  </si>
  <si>
    <t>Total operating expenses</t>
  </si>
  <si>
    <t>Operating income</t>
  </si>
  <si>
    <t>Total non-operating income (expense)</t>
  </si>
  <si>
    <t>Income (loss) before income taxes</t>
  </si>
  <si>
    <t>Net income (loss)</t>
  </si>
  <si>
    <t>Net product sales</t>
  </si>
  <si>
    <t>Net service sales</t>
  </si>
  <si>
    <t>Cost of sales</t>
  </si>
  <si>
    <t>Fulfillment</t>
  </si>
  <si>
    <t>Technology and content</t>
  </si>
  <si>
    <t>Sales and marketing</t>
  </si>
  <si>
    <t>General and administrative</t>
  </si>
  <si>
    <t>Other operating expense (income), net</t>
  </si>
  <si>
    <t>Interest income</t>
  </si>
  <si>
    <t>Interest expense</t>
  </si>
  <si>
    <t>Other income (expense), net</t>
  </si>
  <si>
    <t>Benefit (provision) for income taxes</t>
  </si>
  <si>
    <t>Equity-method investment activity, net of tax</t>
  </si>
  <si>
    <t>Basic earnings per share</t>
  </si>
  <si>
    <t>Diluted earnings per share</t>
  </si>
  <si>
    <t>Weighted-average shares used in computation of earnings per share:</t>
  </si>
  <si>
    <t>Basic</t>
  </si>
  <si>
    <t>Diluted</t>
  </si>
  <si>
    <t>CASH, CASH EQUIVALENTS, AND RESTRICTED CASH, BEGINNING OF PERIOD</t>
  </si>
  <si>
    <t>OPERATING ACTIVITIES:</t>
  </si>
  <si>
    <t>Adjustments to reconcile net income (loss) to net cash from operating activities:</t>
  </si>
  <si>
    <t>Depreciation and amortization of property and equipment and capitalized content costs, operating lease assets, and other</t>
  </si>
  <si>
    <t>Stock-based compensation</t>
  </si>
  <si>
    <t>Other expense (income), net</t>
  </si>
  <si>
    <t>Deferred income taxes</t>
  </si>
  <si>
    <t>Changes in operating assets and liabilities: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</si>
  <si>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</si>
  <si>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</si>
  <si>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</si>
  <si>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</si>
  <si>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</si>
  <si>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</si>
  <si>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Purchases of marketable securities</t>
  </si>
  <si>
    <t>Net cash provided by (used in) investing activities</t>
  </si>
  <si>
    <t>FINANCING ACTIVITIES:</t>
  </si>
  <si>
    <t>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</si>
  <si>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</si>
  <si>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</si>
  <si>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</si>
  <si>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</si>
  <si>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</si>
  <si>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</si>
  <si>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</si>
  <si>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</si>
  <si>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</si>
  <si>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</si>
  <si>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Amazon</t>
  </si>
  <si>
    <t>Supplemental cash flow disclosure:</t>
  </si>
  <si>
    <t>Cash paid for income taxes, net</t>
  </si>
  <si>
    <t>Current portion of long-term debt</t>
  </si>
  <si>
    <t>Net Income</t>
  </si>
  <si>
    <t>(+) Non-Cash Expenses</t>
  </si>
  <si>
    <t>(-) Working Capital Changes</t>
  </si>
  <si>
    <t>(-) Capex</t>
  </si>
  <si>
    <t>(+) Net Borrowings</t>
  </si>
  <si>
    <t>Current Assets less Cash and cash equivalents</t>
  </si>
  <si>
    <t>Current Liabilities less Debt</t>
  </si>
  <si>
    <t>Change in Working Capital</t>
  </si>
  <si>
    <t>Stock Price</t>
  </si>
  <si>
    <t>N.A.</t>
  </si>
  <si>
    <t>Mcap</t>
  </si>
  <si>
    <t>Debt</t>
  </si>
  <si>
    <t>Cash</t>
  </si>
  <si>
    <t>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</si>
</sst>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  <numFmt numFmtId="167" formatCode="0.0\x"/>
    <numFmt numFmtId="171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164" fontId="2" fillId="0" borderId="0" xfId="1" applyNumberFormat="1" applyFont="1" applyFill="1" applyBorder="1"/>
    <xf numFmtId="164" fontId="1" fillId="0" borderId="0" xfId="1" applyNumberFormat="1" applyFont="1" applyBorder="1"/>
    <xf numFmtId="0" fontId="2" fillId="0" borderId="0" xfId="0" applyFont="1" applyAlignment="1">
      <alignment horizontal="left" indent="1"/>
    </xf>
    <xf numFmtId="164" fontId="2" fillId="0" borderId="0" xfId="1" applyNumberFormat="1" applyFont="1" applyBorder="1"/>
    <xf numFmtId="164" fontId="2" fillId="0" borderId="5" xfId="1" applyNumberFormat="1" applyFont="1" applyBorder="1"/>
    <xf numFmtId="0" fontId="0" fillId="0" borderId="3" xfId="0" applyBorder="1" applyAlignment="1">
      <alignment horizontal="left" wrapText="1"/>
    </xf>
    <xf numFmtId="0" fontId="8" fillId="0" borderId="0" xfId="0" applyFont="1" applyAlignment="1">
      <alignment horizontal="left" vertical="top" wrapText="1"/>
    </xf>
    <xf numFmtId="164" fontId="9" fillId="0" borderId="3" xfId="1" applyNumberFormat="1" applyFont="1" applyBorder="1" applyAlignment="1">
      <alignment horizontal="right" vertical="top" indent="1" shrinkToFit="1"/>
    </xf>
    <xf numFmtId="164" fontId="9" fillId="0" borderId="3" xfId="1" applyNumberFormat="1" applyFont="1" applyBorder="1" applyAlignment="1">
      <alignment horizontal="right" vertical="top" shrinkToFit="1"/>
    </xf>
    <xf numFmtId="164" fontId="9" fillId="0" borderId="3" xfId="1" applyNumberFormat="1" applyFont="1" applyBorder="1" applyAlignment="1">
      <alignment horizontal="left" vertical="top" shrinkToFit="1"/>
    </xf>
    <xf numFmtId="164" fontId="9" fillId="0" borderId="4" xfId="1" applyNumberFormat="1" applyFont="1" applyBorder="1" applyAlignment="1">
      <alignment horizontal="right" vertical="top" indent="1" shrinkToFit="1"/>
    </xf>
    <xf numFmtId="164" fontId="9" fillId="0" borderId="4" xfId="1" applyNumberFormat="1" applyFont="1" applyBorder="1" applyAlignment="1">
      <alignment horizontal="right" vertical="top" shrinkToFit="1"/>
    </xf>
    <xf numFmtId="0" fontId="10" fillId="0" borderId="0" xfId="0" applyFont="1" applyAlignment="1">
      <alignment horizontal="left" vertical="top" wrapText="1"/>
    </xf>
    <xf numFmtId="164" fontId="11" fillId="0" borderId="3" xfId="1" applyNumberFormat="1" applyFont="1" applyBorder="1" applyAlignment="1">
      <alignment horizontal="right" vertical="top" indent="1" shrinkToFit="1"/>
    </xf>
    <xf numFmtId="164" fontId="9" fillId="0" borderId="0" xfId="1" applyNumberFormat="1" applyFont="1" applyBorder="1" applyAlignment="1">
      <alignment horizontal="right" vertical="top" indent="1" shrinkToFit="1"/>
    </xf>
    <xf numFmtId="164" fontId="9" fillId="0" borderId="0" xfId="1" applyNumberFormat="1" applyFont="1" applyBorder="1" applyAlignment="1">
      <alignment horizontal="right" vertical="top" shrinkToFit="1"/>
    </xf>
    <xf numFmtId="0" fontId="8" fillId="0" borderId="0" xfId="0" applyFont="1" applyAlignment="1">
      <alignment horizontal="left" vertical="top" wrapText="1" indent="3"/>
    </xf>
    <xf numFmtId="164" fontId="9" fillId="0" borderId="0" xfId="1" applyNumberFormat="1" applyFont="1" applyAlignment="1">
      <alignment horizontal="right" vertical="top" indent="1" shrinkToFit="1"/>
    </xf>
    <xf numFmtId="164" fontId="9" fillId="0" borderId="0" xfId="1" applyNumberFormat="1" applyFont="1" applyAlignment="1">
      <alignment horizontal="right" vertical="top" shrinkToFit="1"/>
    </xf>
    <xf numFmtId="0" fontId="10" fillId="0" borderId="0" xfId="0" applyFont="1" applyAlignment="1">
      <alignment horizontal="left" vertical="top" wrapText="1" indent="5"/>
    </xf>
    <xf numFmtId="164" fontId="11" fillId="0" borderId="2" xfId="1" applyNumberFormat="1" applyFont="1" applyBorder="1" applyAlignment="1">
      <alignment horizontal="right" vertical="top" indent="1" shrinkToFit="1"/>
    </xf>
    <xf numFmtId="0" fontId="10" fillId="0" borderId="0" xfId="0" applyFont="1" applyAlignment="1">
      <alignment horizontal="left" vertical="top" wrapText="1" indent="3"/>
    </xf>
    <xf numFmtId="43" fontId="9" fillId="0" borderId="2" xfId="1" applyFont="1" applyBorder="1" applyAlignment="1">
      <alignment horizontal="right" vertical="top" indent="1" shrinkToFit="1"/>
    </xf>
    <xf numFmtId="164" fontId="9" fillId="0" borderId="4" xfId="1" applyNumberFormat="1" applyFont="1" applyBorder="1" applyAlignment="1">
      <alignment horizontal="left" vertical="top" shrinkToFit="1"/>
    </xf>
    <xf numFmtId="0" fontId="2" fillId="0" borderId="5" xfId="0" applyFont="1" applyBorder="1"/>
    <xf numFmtId="0" fontId="2" fillId="0" borderId="6" xfId="0" applyFont="1" applyBorder="1"/>
    <xf numFmtId="164" fontId="2" fillId="0" borderId="6" xfId="1" applyNumberFormat="1" applyFont="1" applyBorder="1"/>
    <xf numFmtId="164" fontId="0" fillId="0" borderId="0" xfId="1" applyNumberFormat="1" applyFont="1" applyBorder="1"/>
    <xf numFmtId="0" fontId="0" fillId="0" borderId="6" xfId="0" applyBorder="1"/>
    <xf numFmtId="164" fontId="1" fillId="0" borderId="0" xfId="1" applyNumberFormat="1" applyFont="1" applyAlignment="1">
      <alignment horizontal="left"/>
    </xf>
    <xf numFmtId="164" fontId="1" fillId="0" borderId="0" xfId="1" applyNumberFormat="1" applyFont="1" applyBorder="1" applyAlignment="1">
      <alignment horizontal="left"/>
    </xf>
    <xf numFmtId="164" fontId="2" fillId="0" borderId="0" xfId="1" applyNumberFormat="1" applyFont="1" applyBorder="1" applyAlignment="1">
      <alignment horizontal="left"/>
    </xf>
    <xf numFmtId="164" fontId="2" fillId="0" borderId="0" xfId="1" applyNumberFormat="1" applyFont="1" applyAlignment="1">
      <alignment horizontal="left"/>
    </xf>
    <xf numFmtId="0" fontId="10" fillId="0" borderId="1" xfId="0" applyFont="1" applyBorder="1" applyAlignment="1">
      <alignment horizontal="left" vertical="top" wrapText="1"/>
    </xf>
    <xf numFmtId="164" fontId="2" fillId="0" borderId="1" xfId="1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43" fontId="0" fillId="0" borderId="0" xfId="1" applyFont="1"/>
    <xf numFmtId="166" fontId="0" fillId="0" borderId="0" xfId="1" applyNumberFormat="1" applyFont="1"/>
    <xf numFmtId="164" fontId="2" fillId="0" borderId="0" xfId="1" applyNumberFormat="1" applyFont="1" applyAlignment="1">
      <alignment horizontal="left" indent="1"/>
    </xf>
    <xf numFmtId="164" fontId="2" fillId="0" borderId="0" xfId="1" applyNumberFormat="1" applyFont="1"/>
    <xf numFmtId="164" fontId="0" fillId="0" borderId="0" xfId="1" applyNumberFormat="1" applyFont="1" applyAlignment="1">
      <alignment wrapText="1"/>
    </xf>
    <xf numFmtId="167" fontId="0" fillId="0" borderId="0" xfId="0" applyNumberFormat="1"/>
    <xf numFmtId="164" fontId="0" fillId="0" borderId="0" xfId="0" applyNumberFormat="1"/>
    <xf numFmtId="43" fontId="0" fillId="0" borderId="0" xfId="0" applyNumberFormat="1"/>
    <xf numFmtId="171" fontId="0" fillId="0" borderId="0" xfId="0" applyNumberFormat="1"/>
    <xf numFmtId="0" fontId="0" fillId="0" borderId="0" xfId="0" applyFont="1"/>
    <xf numFmtId="164" fontId="2" fillId="0" borderId="0" xfId="0" applyNumberFormat="1" applyFont="1"/>
    <xf numFmtId="166" fontId="0" fillId="0" borderId="0" xfId="0" applyNumberFormat="1"/>
    <xf numFmtId="171" fontId="0" fillId="0" borderId="0" xfId="1" applyNumberFormat="1" applyFont="1"/>
    <xf numFmtId="14" fontId="2" fillId="0" borderId="0" xfId="0" applyNumberFormat="1" applyFont="1"/>
    <xf numFmtId="0" fontId="0" fillId="0" borderId="0" xfId="0" applyAlignment="1">
      <alignment horizontal="right"/>
    </xf>
    <xf numFmtId="164" fontId="0" fillId="0" borderId="0" xfId="1" quotePrefix="1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9" sqref="A9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61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59</v>
      </c>
    </row>
    <row r="8" spans="1:1" x14ac:dyDescent="0.3">
      <c r="A8" s="2" t="s">
        <v>60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0"/>
  <sheetViews>
    <sheetView workbookViewId="0">
      <selection activeCell="C7" sqref="C7"/>
    </sheetView>
  </sheetViews>
  <sheetFormatPr defaultRowHeight="14.4" x14ac:dyDescent="0.3"/>
  <cols>
    <col min="1" max="1" width="74.33203125" bestFit="1" customWidth="1"/>
    <col min="2" max="2" width="11.5546875" customWidth="1"/>
    <col min="3" max="4" width="11.5546875" bestFit="1" customWidth="1"/>
    <col min="5" max="5" width="11.6640625" bestFit="1" customWidth="1"/>
  </cols>
  <sheetData>
    <row r="1" spans="1:11" ht="60" customHeight="1" x14ac:dyDescent="0.3">
      <c r="A1" s="7" t="s">
        <v>146</v>
      </c>
      <c r="B1" s="7"/>
      <c r="C1" s="8" t="s">
        <v>9</v>
      </c>
      <c r="D1" s="8"/>
      <c r="E1" s="8"/>
      <c r="F1" s="8"/>
      <c r="G1" s="8"/>
      <c r="H1" s="8"/>
      <c r="I1" s="8"/>
      <c r="J1" s="8"/>
      <c r="K1" s="8"/>
    </row>
    <row r="2" spans="1:11" x14ac:dyDescent="0.3">
      <c r="A2" s="52" t="s">
        <v>10</v>
      </c>
      <c r="B2" s="52"/>
      <c r="C2" s="52"/>
      <c r="D2" s="52"/>
      <c r="E2" s="52"/>
    </row>
    <row r="3" spans="1:11" x14ac:dyDescent="0.3">
      <c r="C3" s="51" t="s">
        <v>56</v>
      </c>
      <c r="D3" s="51"/>
      <c r="E3" s="51"/>
    </row>
    <row r="4" spans="1:11" x14ac:dyDescent="0.3">
      <c r="B4" s="9">
        <v>2019</v>
      </c>
      <c r="C4" s="9">
        <v>2020</v>
      </c>
      <c r="D4" s="9">
        <v>2021</v>
      </c>
      <c r="E4" s="9">
        <v>2022</v>
      </c>
    </row>
    <row r="5" spans="1:11" x14ac:dyDescent="0.3">
      <c r="A5" s="22" t="s">
        <v>100</v>
      </c>
      <c r="B5" s="23">
        <v>160408</v>
      </c>
      <c r="C5" s="23">
        <v>215915</v>
      </c>
      <c r="D5" s="24">
        <v>241787</v>
      </c>
      <c r="E5" s="25">
        <v>242901</v>
      </c>
    </row>
    <row r="6" spans="1:11" x14ac:dyDescent="0.3">
      <c r="A6" s="22" t="s">
        <v>101</v>
      </c>
      <c r="B6" s="26">
        <v>120114</v>
      </c>
      <c r="C6" s="26">
        <v>170149</v>
      </c>
      <c r="D6" s="27">
        <v>228035</v>
      </c>
      <c r="E6" s="27">
        <v>271082</v>
      </c>
    </row>
    <row r="7" spans="1:11" s="9" customFormat="1" x14ac:dyDescent="0.3">
      <c r="A7" s="28" t="s">
        <v>93</v>
      </c>
      <c r="B7" s="29">
        <f>SUM(B5:B6)</f>
        <v>280522</v>
      </c>
      <c r="C7" s="29">
        <f>SUM(C5:C6)</f>
        <v>386064</v>
      </c>
      <c r="D7" s="29">
        <f t="shared" ref="D7:E7" si="0">SUM(D5:D6)</f>
        <v>469822</v>
      </c>
      <c r="E7" s="29">
        <f t="shared" si="0"/>
        <v>513983</v>
      </c>
      <c r="H7"/>
    </row>
    <row r="8" spans="1:11" x14ac:dyDescent="0.3">
      <c r="A8" s="22" t="s">
        <v>94</v>
      </c>
      <c r="B8" s="30"/>
      <c r="C8" s="30"/>
      <c r="D8" s="31"/>
      <c r="E8" s="31"/>
      <c r="G8" s="9"/>
    </row>
    <row r="9" spans="1:11" x14ac:dyDescent="0.3">
      <c r="A9" s="32" t="s">
        <v>102</v>
      </c>
      <c r="B9" s="33">
        <v>165536</v>
      </c>
      <c r="C9" s="33">
        <v>233307</v>
      </c>
      <c r="D9" s="34">
        <v>272344</v>
      </c>
      <c r="E9" s="34">
        <v>288831</v>
      </c>
    </row>
    <row r="10" spans="1:11" x14ac:dyDescent="0.3">
      <c r="A10" s="32" t="s">
        <v>103</v>
      </c>
      <c r="B10" s="33">
        <v>40232</v>
      </c>
      <c r="C10" s="33">
        <v>58517</v>
      </c>
      <c r="D10" s="34">
        <v>75111</v>
      </c>
      <c r="E10" s="34">
        <v>84299</v>
      </c>
    </row>
    <row r="11" spans="1:11" x14ac:dyDescent="0.3">
      <c r="A11" s="32" t="s">
        <v>104</v>
      </c>
      <c r="B11" s="33">
        <v>35931</v>
      </c>
      <c r="C11" s="33">
        <v>42740</v>
      </c>
      <c r="D11" s="34">
        <v>56052</v>
      </c>
      <c r="E11" s="34">
        <v>73213</v>
      </c>
    </row>
    <row r="12" spans="1:11" x14ac:dyDescent="0.3">
      <c r="A12" s="32" t="s">
        <v>105</v>
      </c>
      <c r="B12" s="33">
        <v>18878</v>
      </c>
      <c r="C12" s="33">
        <v>22008</v>
      </c>
      <c r="D12" s="34">
        <v>32551</v>
      </c>
      <c r="E12" s="34">
        <v>42238</v>
      </c>
    </row>
    <row r="13" spans="1:11" x14ac:dyDescent="0.3">
      <c r="A13" s="32" t="s">
        <v>106</v>
      </c>
      <c r="B13" s="33">
        <v>5203</v>
      </c>
      <c r="C13" s="33">
        <v>6668</v>
      </c>
      <c r="D13" s="34">
        <v>8823</v>
      </c>
      <c r="E13" s="34">
        <v>11891</v>
      </c>
    </row>
    <row r="14" spans="1:11" x14ac:dyDescent="0.3">
      <c r="A14" s="32" t="s">
        <v>107</v>
      </c>
      <c r="B14" s="27">
        <v>201</v>
      </c>
      <c r="C14" s="27">
        <v>-75</v>
      </c>
      <c r="D14" s="27">
        <v>62</v>
      </c>
      <c r="E14" s="27">
        <v>1263</v>
      </c>
    </row>
    <row r="15" spans="1:11" s="9" customFormat="1" x14ac:dyDescent="0.3">
      <c r="A15" s="35" t="s">
        <v>95</v>
      </c>
      <c r="B15" s="36">
        <f>SUM(B9:B14)</f>
        <v>265981</v>
      </c>
      <c r="C15" s="36">
        <f>SUM(C9:C14)</f>
        <v>363165</v>
      </c>
      <c r="D15" s="36">
        <f>SUM(D9:D14)</f>
        <v>444943</v>
      </c>
      <c r="E15" s="36">
        <f>SUM(E9:E14)</f>
        <v>501735</v>
      </c>
      <c r="G15"/>
      <c r="H15"/>
    </row>
    <row r="16" spans="1:11" s="9" customFormat="1" x14ac:dyDescent="0.3">
      <c r="A16" s="28" t="s">
        <v>96</v>
      </c>
      <c r="B16" s="29">
        <f>B7-B15</f>
        <v>14541</v>
      </c>
      <c r="C16" s="29">
        <f>C7-C15</f>
        <v>22899</v>
      </c>
      <c r="D16" s="29">
        <f>D7-D15</f>
        <v>24879</v>
      </c>
      <c r="E16" s="29">
        <f>E7-E15</f>
        <v>12248</v>
      </c>
      <c r="H16"/>
    </row>
    <row r="17" spans="1:8" x14ac:dyDescent="0.3">
      <c r="A17" s="22" t="s">
        <v>108</v>
      </c>
      <c r="B17" s="33">
        <v>832</v>
      </c>
      <c r="C17" s="33">
        <v>555</v>
      </c>
      <c r="D17" s="34">
        <v>448</v>
      </c>
      <c r="E17" s="34">
        <v>989</v>
      </c>
      <c r="G17" s="9"/>
    </row>
    <row r="18" spans="1:8" x14ac:dyDescent="0.3">
      <c r="A18" s="22" t="s">
        <v>109</v>
      </c>
      <c r="B18" s="34">
        <v>-1600</v>
      </c>
      <c r="C18" s="34">
        <v>-1647</v>
      </c>
      <c r="D18" s="34">
        <v>-1809</v>
      </c>
      <c r="E18" s="34">
        <v>-2367</v>
      </c>
    </row>
    <row r="19" spans="1:8" x14ac:dyDescent="0.3">
      <c r="A19" s="22" t="s">
        <v>110</v>
      </c>
      <c r="B19" s="26">
        <v>203</v>
      </c>
      <c r="C19" s="26">
        <v>2371</v>
      </c>
      <c r="D19" s="27">
        <v>14633</v>
      </c>
      <c r="E19" s="27">
        <v>-16806</v>
      </c>
    </row>
    <row r="20" spans="1:8" s="9" customFormat="1" x14ac:dyDescent="0.3">
      <c r="A20" s="37" t="s">
        <v>97</v>
      </c>
      <c r="B20" s="36">
        <f>SUM(B17:B19)</f>
        <v>-565</v>
      </c>
      <c r="C20" s="36">
        <f>SUM(C17:C19)</f>
        <v>1279</v>
      </c>
      <c r="D20" s="36">
        <f>SUM(D17:D19)</f>
        <v>13272</v>
      </c>
      <c r="E20" s="36">
        <f>SUM(E17:E19)</f>
        <v>-18184</v>
      </c>
      <c r="G20"/>
      <c r="H20"/>
    </row>
    <row r="21" spans="1:8" s="9" customFormat="1" x14ac:dyDescent="0.3">
      <c r="A21" s="28" t="s">
        <v>98</v>
      </c>
      <c r="B21" s="29">
        <f>B16+B20</f>
        <v>13976</v>
      </c>
      <c r="C21" s="29">
        <f>C16+C20</f>
        <v>24178</v>
      </c>
      <c r="D21" s="29">
        <f t="shared" ref="D21:E21" si="1">D16+D20</f>
        <v>38151</v>
      </c>
      <c r="E21" s="29">
        <f t="shared" si="1"/>
        <v>-5936</v>
      </c>
      <c r="H21"/>
    </row>
    <row r="22" spans="1:8" x14ac:dyDescent="0.3">
      <c r="A22" s="22" t="s">
        <v>111</v>
      </c>
      <c r="B22" s="34">
        <v>-2374</v>
      </c>
      <c r="C22" s="34">
        <v>-2863</v>
      </c>
      <c r="D22" s="34">
        <v>-4791</v>
      </c>
      <c r="E22" s="34">
        <v>3217</v>
      </c>
      <c r="G22" s="9"/>
    </row>
    <row r="23" spans="1:8" x14ac:dyDescent="0.3">
      <c r="A23" s="22" t="s">
        <v>112</v>
      </c>
      <c r="B23" s="26">
        <v>-14</v>
      </c>
      <c r="C23" s="26">
        <v>16</v>
      </c>
      <c r="D23" s="27">
        <v>4</v>
      </c>
      <c r="E23" s="27">
        <v>-3</v>
      </c>
    </row>
    <row r="24" spans="1:8" s="9" customFormat="1" x14ac:dyDescent="0.3">
      <c r="A24" s="28" t="s">
        <v>99</v>
      </c>
      <c r="B24" s="36">
        <f>SUM(B21:B23)</f>
        <v>11588</v>
      </c>
      <c r="C24" s="36">
        <f>SUM(C21:C23)</f>
        <v>21331</v>
      </c>
      <c r="D24" s="36">
        <f>SUM(D21:D23)</f>
        <v>33364</v>
      </c>
      <c r="E24" s="36">
        <f>SUM(E21:E23)</f>
        <v>-2722</v>
      </c>
      <c r="G24"/>
      <c r="H24"/>
    </row>
    <row r="25" spans="1:8" x14ac:dyDescent="0.3">
      <c r="A25" s="22" t="s">
        <v>113</v>
      </c>
      <c r="B25" s="38">
        <f>B24/B28</f>
        <v>23.457489878542511</v>
      </c>
      <c r="C25" s="38">
        <f>C24/C28</f>
        <v>2.1320339830084958</v>
      </c>
      <c r="D25" s="38">
        <f t="shared" ref="D25:E25" si="2">D24/D28</f>
        <v>3.2978155579717305</v>
      </c>
      <c r="E25" s="38">
        <f t="shared" si="2"/>
        <v>-0.2671508489547551</v>
      </c>
      <c r="G25" s="9"/>
    </row>
    <row r="26" spans="1:8" x14ac:dyDescent="0.3">
      <c r="A26" s="22" t="s">
        <v>114</v>
      </c>
      <c r="B26" s="38">
        <f>B24/B29</f>
        <v>22.99206349206349</v>
      </c>
      <c r="C26" s="38">
        <f>C24/C29</f>
        <v>2.0916846440478527</v>
      </c>
      <c r="D26" s="38">
        <f t="shared" ref="D26:E26" si="3">D24/D29</f>
        <v>3.2404817404817403</v>
      </c>
      <c r="E26" s="38">
        <f t="shared" si="3"/>
        <v>-0.2671508489547551</v>
      </c>
    </row>
    <row r="27" spans="1:8" x14ac:dyDescent="0.3">
      <c r="A27" s="22" t="s">
        <v>115</v>
      </c>
      <c r="B27" s="21"/>
      <c r="C27" s="21"/>
      <c r="D27" s="21"/>
      <c r="E27" s="21"/>
    </row>
    <row r="28" spans="1:8" x14ac:dyDescent="0.3">
      <c r="A28" s="32" t="s">
        <v>116</v>
      </c>
      <c r="B28" s="26">
        <f>494</f>
        <v>494</v>
      </c>
      <c r="C28" s="26">
        <v>10005</v>
      </c>
      <c r="D28" s="27">
        <v>10117</v>
      </c>
      <c r="E28" s="39">
        <v>10189</v>
      </c>
    </row>
    <row r="29" spans="1:8" ht="14.4" customHeight="1" x14ac:dyDescent="0.3">
      <c r="A29" s="32" t="s">
        <v>117</v>
      </c>
      <c r="B29" s="26">
        <f>504</f>
        <v>504</v>
      </c>
      <c r="C29" s="26">
        <v>10198</v>
      </c>
      <c r="D29" s="26">
        <v>10296</v>
      </c>
      <c r="E29" s="26">
        <v>10189</v>
      </c>
    </row>
    <row r="30" spans="1:8" x14ac:dyDescent="0.3">
      <c r="A30" s="9"/>
      <c r="B30" s="9"/>
      <c r="C30" s="16"/>
      <c r="D30" s="16"/>
      <c r="E30" s="16"/>
    </row>
    <row r="32" spans="1:8" x14ac:dyDescent="0.3">
      <c r="A32" s="52" t="s">
        <v>12</v>
      </c>
      <c r="B32" s="52"/>
      <c r="C32" s="52"/>
      <c r="D32" s="52"/>
      <c r="E32" s="52"/>
    </row>
    <row r="33" spans="1:5" x14ac:dyDescent="0.3">
      <c r="C33" s="51" t="s">
        <v>57</v>
      </c>
      <c r="D33" s="51"/>
      <c r="E33" s="51"/>
    </row>
    <row r="34" spans="1:5" x14ac:dyDescent="0.3">
      <c r="B34" s="9">
        <f>B4</f>
        <v>2019</v>
      </c>
      <c r="C34" s="9">
        <f>C4</f>
        <v>2020</v>
      </c>
      <c r="D34" s="9">
        <f t="shared" ref="D34:E34" si="4">D4</f>
        <v>2021</v>
      </c>
      <c r="E34" s="9">
        <f t="shared" si="4"/>
        <v>2022</v>
      </c>
    </row>
    <row r="35" spans="1:5" x14ac:dyDescent="0.3">
      <c r="A35" s="9" t="s">
        <v>92</v>
      </c>
      <c r="B35" s="9"/>
    </row>
    <row r="36" spans="1:5" x14ac:dyDescent="0.3">
      <c r="A36" t="s">
        <v>62</v>
      </c>
      <c r="B36" s="10">
        <v>36092</v>
      </c>
      <c r="C36" s="10">
        <v>42122</v>
      </c>
      <c r="D36" s="17">
        <v>36220</v>
      </c>
      <c r="E36" s="17">
        <v>53888</v>
      </c>
    </row>
    <row r="37" spans="1:5" x14ac:dyDescent="0.3">
      <c r="A37" t="s">
        <v>63</v>
      </c>
      <c r="B37" s="10">
        <v>18929</v>
      </c>
      <c r="C37" s="10">
        <v>42274</v>
      </c>
      <c r="D37" s="17">
        <v>59829</v>
      </c>
      <c r="E37" s="17">
        <v>16138</v>
      </c>
    </row>
    <row r="38" spans="1:5" x14ac:dyDescent="0.3">
      <c r="A38" t="s">
        <v>64</v>
      </c>
      <c r="B38" s="10">
        <v>20497</v>
      </c>
      <c r="C38" s="17">
        <v>23795</v>
      </c>
      <c r="D38" s="17">
        <v>32640</v>
      </c>
      <c r="E38" s="17">
        <v>34405</v>
      </c>
    </row>
    <row r="39" spans="1:5" x14ac:dyDescent="0.3">
      <c r="A39" t="s">
        <v>65</v>
      </c>
      <c r="B39" s="10">
        <v>20816</v>
      </c>
      <c r="C39" s="17">
        <v>24542</v>
      </c>
      <c r="D39" s="17">
        <v>32891</v>
      </c>
      <c r="E39" s="17">
        <v>42360</v>
      </c>
    </row>
    <row r="40" spans="1:5" s="9" customFormat="1" x14ac:dyDescent="0.3">
      <c r="A40" s="40" t="s">
        <v>66</v>
      </c>
      <c r="B40" s="20">
        <f t="shared" ref="B40:C40" si="5">SUM(B36:B39)</f>
        <v>96334</v>
      </c>
      <c r="C40" s="20">
        <f t="shared" si="5"/>
        <v>132733</v>
      </c>
      <c r="D40" s="20">
        <f>SUM(D36:D39)</f>
        <v>161580</v>
      </c>
      <c r="E40" s="20">
        <f>SUM(E36:E39)</f>
        <v>146791</v>
      </c>
    </row>
    <row r="41" spans="1:5" s="9" customFormat="1" x14ac:dyDescent="0.3">
      <c r="A41" s="18"/>
      <c r="B41" s="55"/>
      <c r="C41" s="19"/>
      <c r="D41" s="19"/>
      <c r="E41" s="19"/>
    </row>
    <row r="42" spans="1:5" x14ac:dyDescent="0.3">
      <c r="A42" t="s">
        <v>67</v>
      </c>
      <c r="B42" s="10">
        <v>72705</v>
      </c>
      <c r="C42" s="17">
        <v>113114</v>
      </c>
      <c r="D42" s="17">
        <v>160281</v>
      </c>
      <c r="E42" s="17">
        <v>186715</v>
      </c>
    </row>
    <row r="43" spans="1:5" x14ac:dyDescent="0.3">
      <c r="A43" t="s">
        <v>68</v>
      </c>
      <c r="B43" s="10">
        <v>25141</v>
      </c>
      <c r="C43" s="17">
        <v>37553</v>
      </c>
      <c r="D43" s="17">
        <v>56082</v>
      </c>
      <c r="E43" s="17">
        <v>66123</v>
      </c>
    </row>
    <row r="44" spans="1:5" x14ac:dyDescent="0.3">
      <c r="A44" t="s">
        <v>69</v>
      </c>
      <c r="B44" s="10">
        <v>14754</v>
      </c>
      <c r="C44" s="17">
        <v>15017</v>
      </c>
      <c r="D44" s="17">
        <v>15371</v>
      </c>
      <c r="E44" s="17">
        <v>20288</v>
      </c>
    </row>
    <row r="45" spans="1:5" x14ac:dyDescent="0.3">
      <c r="A45" t="s">
        <v>70</v>
      </c>
      <c r="B45" s="10">
        <v>16314</v>
      </c>
      <c r="C45" s="17">
        <v>22778</v>
      </c>
      <c r="D45" s="17">
        <v>27235</v>
      </c>
      <c r="E45" s="17">
        <v>42758</v>
      </c>
    </row>
    <row r="46" spans="1:5" s="9" customFormat="1" x14ac:dyDescent="0.3">
      <c r="A46" s="40" t="s">
        <v>71</v>
      </c>
      <c r="B46" s="20">
        <f t="shared" ref="B46:C46" si="6">SUM(B40:B45)</f>
        <v>225248</v>
      </c>
      <c r="C46" s="20">
        <f t="shared" si="6"/>
        <v>321195</v>
      </c>
      <c r="D46" s="20">
        <f>SUM(D40:D45)</f>
        <v>420549</v>
      </c>
      <c r="E46" s="20">
        <f>SUM(E40:E45)</f>
        <v>462675</v>
      </c>
    </row>
    <row r="47" spans="1:5" s="9" customFormat="1" x14ac:dyDescent="0.3">
      <c r="B47" s="56"/>
      <c r="C47" s="19"/>
      <c r="D47" s="19"/>
      <c r="E47" s="19"/>
    </row>
    <row r="48" spans="1:5" s="9" customFormat="1" x14ac:dyDescent="0.3">
      <c r="A48" s="9" t="s">
        <v>72</v>
      </c>
      <c r="B48" s="56"/>
      <c r="C48" s="19"/>
      <c r="D48" s="19"/>
      <c r="E48" s="19"/>
    </row>
    <row r="49" spans="1:5" s="9" customFormat="1" x14ac:dyDescent="0.3">
      <c r="A49" s="9" t="s">
        <v>73</v>
      </c>
      <c r="B49" s="56"/>
      <c r="C49" s="19"/>
      <c r="D49" s="19"/>
      <c r="E49" s="19"/>
    </row>
    <row r="50" spans="1:5" x14ac:dyDescent="0.3">
      <c r="A50" t="s">
        <v>74</v>
      </c>
      <c r="B50" s="10">
        <v>47183</v>
      </c>
      <c r="C50" s="17">
        <v>72539</v>
      </c>
      <c r="D50" s="17">
        <v>78664</v>
      </c>
      <c r="E50" s="17">
        <v>79600</v>
      </c>
    </row>
    <row r="51" spans="1:5" x14ac:dyDescent="0.3">
      <c r="A51" t="s">
        <v>75</v>
      </c>
      <c r="B51" s="10">
        <v>32439</v>
      </c>
      <c r="C51" s="17">
        <v>44138</v>
      </c>
      <c r="D51" s="17">
        <v>51775</v>
      </c>
      <c r="E51" s="17">
        <v>62566</v>
      </c>
    </row>
    <row r="52" spans="1:5" x14ac:dyDescent="0.3">
      <c r="A52" t="s">
        <v>76</v>
      </c>
      <c r="B52" s="10">
        <v>8190</v>
      </c>
      <c r="C52" s="17">
        <v>9708</v>
      </c>
      <c r="D52" s="17">
        <v>11827</v>
      </c>
      <c r="E52" s="17">
        <v>13227</v>
      </c>
    </row>
    <row r="53" spans="1:5" s="9" customFormat="1" x14ac:dyDescent="0.3">
      <c r="A53" s="40" t="s">
        <v>77</v>
      </c>
      <c r="B53" s="20">
        <f t="shared" ref="B53:C53" si="7">SUM(B50:B52)</f>
        <v>87812</v>
      </c>
      <c r="C53" s="20">
        <f t="shared" si="7"/>
        <v>126385</v>
      </c>
      <c r="D53" s="20">
        <f>SUM(D50:D52)</f>
        <v>142266</v>
      </c>
      <c r="E53" s="20">
        <f>SUM(E50:E52)</f>
        <v>155393</v>
      </c>
    </row>
    <row r="54" spans="1:5" s="9" customFormat="1" x14ac:dyDescent="0.3">
      <c r="B54" s="56"/>
      <c r="C54" s="56"/>
      <c r="D54" s="19"/>
      <c r="E54" s="19"/>
    </row>
    <row r="55" spans="1:5" x14ac:dyDescent="0.3">
      <c r="A55" t="s">
        <v>78</v>
      </c>
      <c r="B55" s="10">
        <v>39791</v>
      </c>
      <c r="C55" s="10">
        <v>52573</v>
      </c>
      <c r="D55" s="17">
        <v>67651</v>
      </c>
      <c r="E55" s="17">
        <v>72968</v>
      </c>
    </row>
    <row r="56" spans="1:5" x14ac:dyDescent="0.3">
      <c r="A56" t="s">
        <v>79</v>
      </c>
      <c r="B56" s="10">
        <v>23414</v>
      </c>
      <c r="C56" s="17">
        <v>31816</v>
      </c>
      <c r="D56" s="17">
        <v>48744</v>
      </c>
      <c r="E56" s="17">
        <v>67150</v>
      </c>
    </row>
    <row r="57" spans="1:5" x14ac:dyDescent="0.3">
      <c r="A57" t="s">
        <v>80</v>
      </c>
      <c r="B57" s="10">
        <v>12171</v>
      </c>
      <c r="C57" s="17">
        <v>17017</v>
      </c>
      <c r="D57" s="17">
        <v>23643</v>
      </c>
      <c r="E57" s="17">
        <v>21121</v>
      </c>
    </row>
    <row r="58" spans="1:5" x14ac:dyDescent="0.3">
      <c r="A58" t="s">
        <v>81</v>
      </c>
      <c r="B58" s="10"/>
      <c r="C58" s="17"/>
      <c r="D58" s="17"/>
      <c r="E58" s="17"/>
    </row>
    <row r="59" spans="1:5" x14ac:dyDescent="0.3">
      <c r="A59" s="9" t="s">
        <v>82</v>
      </c>
      <c r="B59" s="56"/>
      <c r="C59" s="17"/>
      <c r="D59" s="17"/>
      <c r="E59" s="17"/>
    </row>
    <row r="60" spans="1:5" x14ac:dyDescent="0.3">
      <c r="A60" t="s">
        <v>83</v>
      </c>
      <c r="B60" s="17" t="s">
        <v>84</v>
      </c>
      <c r="C60" s="17" t="s">
        <v>84</v>
      </c>
      <c r="D60" s="17" t="s">
        <v>84</v>
      </c>
      <c r="E60" s="17" t="s">
        <v>84</v>
      </c>
    </row>
    <row r="61" spans="1:5" ht="28.8" x14ac:dyDescent="0.3">
      <c r="A61" s="2" t="s">
        <v>85</v>
      </c>
      <c r="B61" s="57">
        <v>5</v>
      </c>
      <c r="C61" s="17">
        <v>5</v>
      </c>
      <c r="D61" s="17">
        <v>106</v>
      </c>
      <c r="E61" s="17">
        <v>108</v>
      </c>
    </row>
    <row r="62" spans="1:5" x14ac:dyDescent="0.3">
      <c r="A62" t="s">
        <v>86</v>
      </c>
      <c r="B62" s="10">
        <v>-1837</v>
      </c>
      <c r="C62" s="17">
        <v>-1837</v>
      </c>
      <c r="D62" s="17">
        <v>-1837</v>
      </c>
      <c r="E62" s="17">
        <v>-7837</v>
      </c>
    </row>
    <row r="63" spans="1:5" x14ac:dyDescent="0.3">
      <c r="A63" t="s">
        <v>87</v>
      </c>
      <c r="B63" s="10">
        <v>33658</v>
      </c>
      <c r="C63" s="17">
        <v>42865</v>
      </c>
      <c r="D63" s="17">
        <v>55437</v>
      </c>
      <c r="E63" s="17">
        <v>75066</v>
      </c>
    </row>
    <row r="64" spans="1:5" x14ac:dyDescent="0.3">
      <c r="A64" t="s">
        <v>88</v>
      </c>
      <c r="B64" s="10">
        <v>-986</v>
      </c>
      <c r="C64" s="17">
        <v>-180</v>
      </c>
      <c r="D64" s="17">
        <v>-1376</v>
      </c>
      <c r="E64" s="17">
        <v>-4487</v>
      </c>
    </row>
    <row r="65" spans="1:5" x14ac:dyDescent="0.3">
      <c r="A65" t="s">
        <v>89</v>
      </c>
      <c r="B65" s="10">
        <v>31220</v>
      </c>
      <c r="C65" s="17">
        <v>52551</v>
      </c>
      <c r="D65" s="17">
        <v>85915</v>
      </c>
      <c r="E65" s="17">
        <v>83193</v>
      </c>
    </row>
    <row r="66" spans="1:5" x14ac:dyDescent="0.3">
      <c r="A66" s="40" t="s">
        <v>90</v>
      </c>
      <c r="B66" s="20">
        <f t="shared" ref="B66:C66" si="8">SUM(B61:B65)</f>
        <v>62060</v>
      </c>
      <c r="C66" s="20">
        <f t="shared" si="8"/>
        <v>93404</v>
      </c>
      <c r="D66" s="20">
        <f>SUM(D61:D65)</f>
        <v>138245</v>
      </c>
      <c r="E66" s="20">
        <f>SUM(E61:E65)</f>
        <v>146043</v>
      </c>
    </row>
    <row r="67" spans="1:5" x14ac:dyDescent="0.3">
      <c r="A67" s="41" t="s">
        <v>91</v>
      </c>
      <c r="B67" s="42">
        <f t="shared" ref="B67:C67" si="9">SUM(B55:B57)+B66+B53</f>
        <v>225248</v>
      </c>
      <c r="C67" s="42">
        <f t="shared" si="9"/>
        <v>321195</v>
      </c>
      <c r="D67" s="42">
        <f>SUM(D55:D57)+D66+D53</f>
        <v>420549</v>
      </c>
      <c r="E67" s="42">
        <f>SUM(E55:E57)+E66+E53</f>
        <v>462675</v>
      </c>
    </row>
    <row r="68" spans="1:5" x14ac:dyDescent="0.3">
      <c r="C68" s="10"/>
      <c r="D68" s="10"/>
      <c r="E68" s="10"/>
    </row>
    <row r="69" spans="1:5" x14ac:dyDescent="0.3">
      <c r="A69" t="s">
        <v>155</v>
      </c>
      <c r="B69" s="59">
        <f>B40-B36-B37</f>
        <v>41313</v>
      </c>
      <c r="C69" s="59">
        <f t="shared" ref="C69:E69" si="10">C40-C36-C37</f>
        <v>48337</v>
      </c>
      <c r="D69" s="59">
        <f t="shared" si="10"/>
        <v>65531</v>
      </c>
      <c r="E69" s="59">
        <f t="shared" si="10"/>
        <v>76765</v>
      </c>
    </row>
    <row r="70" spans="1:5" x14ac:dyDescent="0.3">
      <c r="A70" t="s">
        <v>156</v>
      </c>
      <c r="B70" s="59">
        <f>B53</f>
        <v>87812</v>
      </c>
      <c r="C70" s="59">
        <f t="shared" ref="C70:E70" si="11">C53</f>
        <v>126385</v>
      </c>
      <c r="D70" s="59">
        <f t="shared" si="11"/>
        <v>142266</v>
      </c>
      <c r="E70" s="59">
        <f t="shared" si="11"/>
        <v>155393</v>
      </c>
    </row>
    <row r="71" spans="1:5" x14ac:dyDescent="0.3">
      <c r="A71" t="s">
        <v>24</v>
      </c>
      <c r="B71" s="59">
        <f>B69-B70</f>
        <v>-46499</v>
      </c>
      <c r="C71" s="59">
        <f t="shared" ref="C71:E71" si="12">C69-C70</f>
        <v>-78048</v>
      </c>
      <c r="D71" s="59">
        <f t="shared" si="12"/>
        <v>-76735</v>
      </c>
      <c r="E71" s="59">
        <f t="shared" si="12"/>
        <v>-78628</v>
      </c>
    </row>
    <row r="72" spans="1:5" x14ac:dyDescent="0.3">
      <c r="A72" t="s">
        <v>157</v>
      </c>
      <c r="C72" s="10">
        <f>C71-B71</f>
        <v>-31549</v>
      </c>
      <c r="D72" s="10">
        <f t="shared" ref="D72:E72" si="13">D71-C71</f>
        <v>1313</v>
      </c>
      <c r="E72" s="10">
        <f t="shared" si="13"/>
        <v>-1893</v>
      </c>
    </row>
    <row r="73" spans="1:5" x14ac:dyDescent="0.3">
      <c r="C73" s="10"/>
      <c r="D73" s="10"/>
      <c r="E73" s="10"/>
    </row>
    <row r="75" spans="1:5" x14ac:dyDescent="0.3">
      <c r="A75" s="52" t="s">
        <v>13</v>
      </c>
      <c r="B75" s="52"/>
      <c r="C75" s="52"/>
      <c r="D75" s="52"/>
      <c r="E75" s="52"/>
    </row>
    <row r="76" spans="1:5" x14ac:dyDescent="0.3">
      <c r="C76" s="51" t="s">
        <v>56</v>
      </c>
      <c r="D76" s="51"/>
      <c r="E76" s="51"/>
    </row>
    <row r="77" spans="1:5" x14ac:dyDescent="0.3">
      <c r="A77" s="44"/>
      <c r="B77" s="41">
        <f>B4</f>
        <v>2019</v>
      </c>
      <c r="C77" s="41">
        <f>C4</f>
        <v>2020</v>
      </c>
      <c r="D77" s="41">
        <f>D4</f>
        <v>2021</v>
      </c>
      <c r="E77" s="41">
        <f>E4</f>
        <v>2022</v>
      </c>
    </row>
    <row r="78" spans="1:5" x14ac:dyDescent="0.3">
      <c r="A78" s="22" t="s">
        <v>118</v>
      </c>
      <c r="B78" s="22"/>
      <c r="C78" s="45">
        <v>36410</v>
      </c>
      <c r="D78" s="45">
        <v>42377</v>
      </c>
      <c r="E78" s="45">
        <v>36477</v>
      </c>
    </row>
    <row r="79" spans="1:5" x14ac:dyDescent="0.3">
      <c r="A79" s="22" t="s">
        <v>119</v>
      </c>
      <c r="B79" s="22"/>
      <c r="C79" s="45"/>
      <c r="D79" s="45"/>
      <c r="E79" s="45"/>
    </row>
    <row r="80" spans="1:5" s="9" customFormat="1" x14ac:dyDescent="0.3">
      <c r="A80" s="28" t="s">
        <v>99</v>
      </c>
      <c r="B80" s="28"/>
      <c r="C80" s="48">
        <v>21331</v>
      </c>
      <c r="D80" s="48">
        <v>33364</v>
      </c>
      <c r="E80" s="48">
        <v>-2722</v>
      </c>
    </row>
    <row r="81" spans="1:5" x14ac:dyDescent="0.3">
      <c r="A81" s="22" t="s">
        <v>120</v>
      </c>
      <c r="B81" s="22"/>
      <c r="C81" s="45"/>
      <c r="D81" s="45"/>
      <c r="E81" s="45"/>
    </row>
    <row r="82" spans="1:5" ht="28.8" x14ac:dyDescent="0.3">
      <c r="A82" s="32" t="s">
        <v>121</v>
      </c>
      <c r="B82" s="32"/>
      <c r="C82" s="45">
        <v>25180</v>
      </c>
      <c r="D82" s="45">
        <v>34433</v>
      </c>
      <c r="E82" s="45">
        <v>41921</v>
      </c>
    </row>
    <row r="83" spans="1:5" x14ac:dyDescent="0.3">
      <c r="A83" s="32" t="s">
        <v>122</v>
      </c>
      <c r="B83" s="32"/>
      <c r="C83" s="45">
        <v>9208</v>
      </c>
      <c r="D83" s="45">
        <v>12757</v>
      </c>
      <c r="E83" s="45">
        <v>19621</v>
      </c>
    </row>
    <row r="84" spans="1:5" x14ac:dyDescent="0.3">
      <c r="A84" s="32" t="s">
        <v>123</v>
      </c>
      <c r="B84" s="32"/>
      <c r="C84" s="45">
        <v>-2582</v>
      </c>
      <c r="D84" s="45">
        <v>-14306</v>
      </c>
      <c r="E84" s="45">
        <v>16966</v>
      </c>
    </row>
    <row r="85" spans="1:5" x14ac:dyDescent="0.3">
      <c r="A85" s="32" t="s">
        <v>124</v>
      </c>
      <c r="B85" s="32"/>
      <c r="C85" s="46">
        <v>-554</v>
      </c>
      <c r="D85" s="46">
        <v>-310</v>
      </c>
      <c r="E85" s="46">
        <v>-8148</v>
      </c>
    </row>
    <row r="86" spans="1:5" x14ac:dyDescent="0.3">
      <c r="A86" s="22" t="s">
        <v>125</v>
      </c>
      <c r="B86" s="22"/>
      <c r="C86" s="46"/>
      <c r="D86" s="46"/>
      <c r="E86" s="46"/>
    </row>
    <row r="87" spans="1:5" x14ac:dyDescent="0.3">
      <c r="A87" s="32" t="s">
        <v>64</v>
      </c>
      <c r="B87" s="32"/>
      <c r="C87" s="46">
        <v>-2849</v>
      </c>
      <c r="D87" s="46">
        <v>-9487</v>
      </c>
      <c r="E87" s="46">
        <v>-2592</v>
      </c>
    </row>
    <row r="88" spans="1:5" x14ac:dyDescent="0.3">
      <c r="A88" s="32" t="s">
        <v>65</v>
      </c>
      <c r="B88" s="32"/>
      <c r="C88" s="46">
        <v>-8169</v>
      </c>
      <c r="D88" s="46">
        <v>-18163</v>
      </c>
      <c r="E88" s="46">
        <v>-21897</v>
      </c>
    </row>
    <row r="89" spans="1:5" x14ac:dyDescent="0.3">
      <c r="A89" s="32" t="s">
        <v>74</v>
      </c>
      <c r="B89" s="32"/>
      <c r="C89" s="46">
        <v>17480</v>
      </c>
      <c r="D89" s="46">
        <v>3602</v>
      </c>
      <c r="E89" s="46">
        <v>2945</v>
      </c>
    </row>
    <row r="90" spans="1:5" x14ac:dyDescent="0.3">
      <c r="A90" s="32" t="s">
        <v>75</v>
      </c>
      <c r="B90" s="32"/>
      <c r="C90" s="46">
        <v>5754</v>
      </c>
      <c r="D90" s="46">
        <v>2123</v>
      </c>
      <c r="E90" s="46">
        <v>-1558</v>
      </c>
    </row>
    <row r="91" spans="1:5" x14ac:dyDescent="0.3">
      <c r="A91" s="32" t="s">
        <v>76</v>
      </c>
      <c r="B91" s="32"/>
      <c r="C91" s="46">
        <v>1265</v>
      </c>
      <c r="D91" s="46">
        <v>2314</v>
      </c>
      <c r="E91" s="46">
        <v>2216</v>
      </c>
    </row>
    <row r="92" spans="1:5" s="9" customFormat="1" x14ac:dyDescent="0.3">
      <c r="A92" s="35" t="s">
        <v>126</v>
      </c>
      <c r="B92" s="35"/>
      <c r="C92" s="47">
        <f>SUM(C80:C91)</f>
        <v>66064</v>
      </c>
      <c r="D92" s="47">
        <f>SUM(D80:D91)</f>
        <v>46327</v>
      </c>
      <c r="E92" s="47">
        <f>SUM(E80:E91)</f>
        <v>46752</v>
      </c>
    </row>
    <row r="93" spans="1:5" x14ac:dyDescent="0.3">
      <c r="A93" s="22" t="s">
        <v>127</v>
      </c>
      <c r="B93" s="22"/>
      <c r="C93" s="46"/>
      <c r="D93" s="46"/>
      <c r="E93" s="46"/>
    </row>
    <row r="94" spans="1:5" x14ac:dyDescent="0.3">
      <c r="A94" s="22" t="s">
        <v>128</v>
      </c>
      <c r="B94" s="22"/>
      <c r="C94" s="46">
        <v>-40140</v>
      </c>
      <c r="D94" s="46">
        <v>-61053</v>
      </c>
      <c r="E94" s="46">
        <v>-63645</v>
      </c>
    </row>
    <row r="95" spans="1:5" x14ac:dyDescent="0.3">
      <c r="A95" s="22" t="s">
        <v>129</v>
      </c>
      <c r="B95" s="22"/>
      <c r="C95" s="46">
        <v>5096</v>
      </c>
      <c r="D95" s="46">
        <v>5657</v>
      </c>
      <c r="E95" s="46">
        <v>5324</v>
      </c>
    </row>
    <row r="96" spans="1:5" x14ac:dyDescent="0.3">
      <c r="A96" s="22" t="s">
        <v>130</v>
      </c>
      <c r="B96" s="22"/>
      <c r="C96" s="46">
        <v>-2325</v>
      </c>
      <c r="D96" s="46">
        <v>-1985</v>
      </c>
      <c r="E96" s="46">
        <v>-8316</v>
      </c>
    </row>
    <row r="97" spans="1:5" x14ac:dyDescent="0.3">
      <c r="A97" s="22" t="s">
        <v>131</v>
      </c>
      <c r="B97" s="22"/>
      <c r="C97" s="46">
        <v>50237</v>
      </c>
      <c r="D97" s="46">
        <v>59384</v>
      </c>
      <c r="E97" s="46">
        <v>31601</v>
      </c>
    </row>
    <row r="98" spans="1:5" x14ac:dyDescent="0.3">
      <c r="A98" s="22" t="s">
        <v>132</v>
      </c>
      <c r="B98" s="22"/>
      <c r="C98" s="46">
        <v>-72479</v>
      </c>
      <c r="D98" s="46">
        <v>-60157</v>
      </c>
      <c r="E98" s="46">
        <v>-2565</v>
      </c>
    </row>
    <row r="99" spans="1:5" s="9" customFormat="1" x14ac:dyDescent="0.3">
      <c r="A99" s="35" t="s">
        <v>133</v>
      </c>
      <c r="B99" s="35"/>
      <c r="C99" s="47">
        <f>SUM(C94:C98)</f>
        <v>-59611</v>
      </c>
      <c r="D99" s="47">
        <f t="shared" ref="D99:E99" si="14">SUM(D94:D98)</f>
        <v>-58154</v>
      </c>
      <c r="E99" s="47">
        <f t="shared" si="14"/>
        <v>-37601</v>
      </c>
    </row>
    <row r="100" spans="1:5" x14ac:dyDescent="0.3">
      <c r="A100" s="22" t="s">
        <v>134</v>
      </c>
      <c r="B100" s="22"/>
      <c r="C100" s="46"/>
      <c r="D100" s="46"/>
      <c r="E100" s="46"/>
    </row>
    <row r="101" spans="1:5" x14ac:dyDescent="0.3">
      <c r="A101" s="22" t="s">
        <v>135</v>
      </c>
      <c r="B101" s="22"/>
      <c r="C101" s="46" t="s">
        <v>84</v>
      </c>
      <c r="D101" s="46" t="s">
        <v>84</v>
      </c>
      <c r="E101" s="46">
        <v>-6000</v>
      </c>
    </row>
    <row r="102" spans="1:5" x14ac:dyDescent="0.3">
      <c r="A102" s="22" t="s">
        <v>136</v>
      </c>
      <c r="B102" s="22"/>
      <c r="C102" s="46">
        <v>6796</v>
      </c>
      <c r="D102" s="46">
        <v>7956</v>
      </c>
      <c r="E102" s="46">
        <v>41553</v>
      </c>
    </row>
    <row r="103" spans="1:5" x14ac:dyDescent="0.3">
      <c r="A103" s="22" t="s">
        <v>137</v>
      </c>
      <c r="B103" s="22"/>
      <c r="C103" s="46">
        <v>-6177</v>
      </c>
      <c r="D103" s="46">
        <v>-7753</v>
      </c>
      <c r="E103" s="46">
        <v>-37554</v>
      </c>
    </row>
    <row r="104" spans="1:5" x14ac:dyDescent="0.3">
      <c r="A104" s="22" t="s">
        <v>138</v>
      </c>
      <c r="B104" s="22"/>
      <c r="C104" s="46">
        <v>10525</v>
      </c>
      <c r="D104" s="46">
        <v>19003</v>
      </c>
      <c r="E104" s="46">
        <v>21166</v>
      </c>
    </row>
    <row r="105" spans="1:5" x14ac:dyDescent="0.3">
      <c r="A105" s="22" t="s">
        <v>139</v>
      </c>
      <c r="B105" s="22"/>
      <c r="C105" s="46">
        <v>-1553</v>
      </c>
      <c r="D105" s="46">
        <v>-1590</v>
      </c>
      <c r="E105" s="46">
        <v>-1258</v>
      </c>
    </row>
    <row r="106" spans="1:5" x14ac:dyDescent="0.3">
      <c r="A106" s="22" t="s">
        <v>140</v>
      </c>
      <c r="B106" s="22"/>
      <c r="C106" s="46">
        <v>-10642</v>
      </c>
      <c r="D106" s="46">
        <v>-11163</v>
      </c>
      <c r="E106" s="46">
        <v>-7941</v>
      </c>
    </row>
    <row r="107" spans="1:5" x14ac:dyDescent="0.3">
      <c r="A107" s="22" t="s">
        <v>141</v>
      </c>
      <c r="B107" s="22"/>
      <c r="C107" s="46">
        <v>-53</v>
      </c>
      <c r="D107" s="46">
        <v>-162</v>
      </c>
      <c r="E107" s="46">
        <v>-248</v>
      </c>
    </row>
    <row r="108" spans="1:5" s="9" customFormat="1" x14ac:dyDescent="0.3">
      <c r="A108" s="35" t="s">
        <v>142</v>
      </c>
      <c r="B108" s="35"/>
      <c r="C108" s="47">
        <f>SUM(C102:C107)</f>
        <v>-1104</v>
      </c>
      <c r="D108" s="47">
        <f>SUM(D102:D107)</f>
        <v>6291</v>
      </c>
      <c r="E108" s="47">
        <f>SUM(E101:E107)</f>
        <v>9718</v>
      </c>
    </row>
    <row r="109" spans="1:5" x14ac:dyDescent="0.3">
      <c r="A109" s="22" t="s">
        <v>143</v>
      </c>
      <c r="B109" s="22"/>
      <c r="C109" s="46">
        <v>618</v>
      </c>
      <c r="D109" s="46">
        <v>-364</v>
      </c>
      <c r="E109" s="46">
        <v>-1093</v>
      </c>
    </row>
    <row r="110" spans="1:5" s="9" customFormat="1" x14ac:dyDescent="0.3">
      <c r="A110" s="49" t="s">
        <v>144</v>
      </c>
      <c r="B110" s="49"/>
      <c r="C110" s="50">
        <f>C92+C99+C108+C109</f>
        <v>5967</v>
      </c>
      <c r="D110" s="50">
        <f>D92+D99+D108+D109</f>
        <v>-5900</v>
      </c>
      <c r="E110" s="50">
        <f>E92+E99+E108+E109</f>
        <v>17776</v>
      </c>
    </row>
    <row r="111" spans="1:5" s="9" customFormat="1" x14ac:dyDescent="0.3">
      <c r="A111" s="28" t="s">
        <v>145</v>
      </c>
      <c r="B111" s="28"/>
      <c r="C111" s="47">
        <f>C78+C110</f>
        <v>42377</v>
      </c>
      <c r="D111" s="47">
        <f>D78+D110</f>
        <v>36477</v>
      </c>
      <c r="E111" s="47">
        <f>E78+E110</f>
        <v>54253</v>
      </c>
    </row>
    <row r="112" spans="1:5" x14ac:dyDescent="0.3">
      <c r="A112" s="1"/>
      <c r="B112" s="1"/>
      <c r="C112" s="43"/>
      <c r="D112" s="43"/>
      <c r="E112" s="43"/>
    </row>
    <row r="113" spans="1:5" x14ac:dyDescent="0.3">
      <c r="A113" t="s">
        <v>147</v>
      </c>
      <c r="B113" s="1"/>
      <c r="C113" s="43"/>
      <c r="D113" s="43"/>
      <c r="E113" s="43"/>
    </row>
    <row r="114" spans="1:5" x14ac:dyDescent="0.3">
      <c r="A114" t="s">
        <v>148</v>
      </c>
      <c r="B114" s="1"/>
      <c r="C114" s="43">
        <v>1713</v>
      </c>
      <c r="D114" s="43">
        <v>3688</v>
      </c>
      <c r="E114" s="43">
        <v>6035</v>
      </c>
    </row>
    <row r="115" spans="1:5" x14ac:dyDescent="0.3">
      <c r="A115" s="9"/>
      <c r="B115" s="9"/>
      <c r="C115" s="19"/>
      <c r="D115" s="19"/>
      <c r="E115" s="19"/>
    </row>
    <row r="116" spans="1:5" s="62" customFormat="1" x14ac:dyDescent="0.3">
      <c r="A116" s="62" t="s">
        <v>149</v>
      </c>
      <c r="C116" s="17">
        <v>1155</v>
      </c>
      <c r="D116" s="17">
        <v>1491</v>
      </c>
      <c r="E116" s="17">
        <v>2999</v>
      </c>
    </row>
    <row r="117" spans="1:5" x14ac:dyDescent="0.3">
      <c r="C117" s="43"/>
      <c r="D117" s="43"/>
      <c r="E117" s="43"/>
    </row>
    <row r="118" spans="1:5" x14ac:dyDescent="0.3">
      <c r="C118" s="43"/>
      <c r="D118" s="43"/>
      <c r="E118" s="43"/>
    </row>
    <row r="119" spans="1:5" x14ac:dyDescent="0.3">
      <c r="C119" s="10"/>
      <c r="D119" s="10"/>
      <c r="E119" s="10"/>
    </row>
    <row r="120" spans="1:5" x14ac:dyDescent="0.3">
      <c r="C120" s="10"/>
      <c r="D120" s="10"/>
      <c r="E120" s="10"/>
    </row>
  </sheetData>
  <mergeCells count="6">
    <mergeCell ref="C76:E76"/>
    <mergeCell ref="A2:E2"/>
    <mergeCell ref="C3:E3"/>
    <mergeCell ref="A32:E32"/>
    <mergeCell ref="C33:E33"/>
    <mergeCell ref="A75:E7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"/>
  <sheetViews>
    <sheetView tabSelected="1" workbookViewId="0"/>
  </sheetViews>
  <sheetFormatPr defaultRowHeight="14.4" x14ac:dyDescent="0.3"/>
  <cols>
    <col min="1" max="1" width="4.6640625" customWidth="1"/>
    <col min="2" max="2" width="44.88671875" customWidth="1"/>
    <col min="3" max="3" width="10.21875" bestFit="1" customWidth="1"/>
    <col min="4" max="5" width="10.109375" bestFit="1" customWidth="1"/>
    <col min="7" max="7" width="23.6640625" bestFit="1" customWidth="1"/>
    <col min="8" max="10" width="10.77734375" bestFit="1" customWidth="1"/>
  </cols>
  <sheetData>
    <row r="1" spans="1:10" ht="60" customHeight="1" x14ac:dyDescent="0.5">
      <c r="A1" s="7"/>
      <c r="B1" s="12" t="str">
        <f>'Financial Statements'!A1</f>
        <v>Amazon</v>
      </c>
      <c r="C1" s="13"/>
      <c r="D1" s="13"/>
      <c r="E1" s="13"/>
      <c r="F1" s="13"/>
      <c r="G1" s="13"/>
      <c r="H1" s="13"/>
      <c r="I1" s="13"/>
      <c r="J1" s="13"/>
    </row>
    <row r="2" spans="1:10" x14ac:dyDescent="0.3">
      <c r="C2" s="51" t="s">
        <v>58</v>
      </c>
      <c r="D2" s="51"/>
      <c r="E2" s="51"/>
    </row>
    <row r="3" spans="1:10" x14ac:dyDescent="0.3">
      <c r="C3" s="9">
        <f>'Financial Statements'!C4</f>
        <v>2020</v>
      </c>
      <c r="D3" s="9">
        <f>'Financial Statements'!D4</f>
        <v>2021</v>
      </c>
      <c r="E3" s="9">
        <f>'Financial Statements'!E4</f>
        <v>2022</v>
      </c>
    </row>
    <row r="4" spans="1:10" x14ac:dyDescent="0.3">
      <c r="A4" s="14">
        <v>1</v>
      </c>
      <c r="B4" s="9" t="s">
        <v>14</v>
      </c>
    </row>
    <row r="5" spans="1:10" x14ac:dyDescent="0.3">
      <c r="A5" s="14">
        <f>+A4+0.1</f>
        <v>1.1000000000000001</v>
      </c>
      <c r="B5" s="1" t="s">
        <v>15</v>
      </c>
      <c r="C5" s="58">
        <f>'Financial Statements'!C40/'Financial Statements'!C53</f>
        <v>1.0502274795268425</v>
      </c>
      <c r="D5" s="58">
        <f>'Financial Statements'!D40/'Financial Statements'!D53</f>
        <v>1.1357597739445826</v>
      </c>
      <c r="E5" s="58">
        <f>'Financial Statements'!E40/'Financial Statements'!E53</f>
        <v>0.9446435811136924</v>
      </c>
    </row>
    <row r="6" spans="1:10" x14ac:dyDescent="0.3">
      <c r="A6" s="14">
        <f t="shared" ref="A6:A13" si="0">+A5+0.1</f>
        <v>1.2000000000000002</v>
      </c>
      <c r="B6" s="1" t="s">
        <v>16</v>
      </c>
      <c r="C6" s="58">
        <f>('Financial Statements'!C40-'Financial Statements'!C38)/'Financial Statements'!C53</f>
        <v>0.86195355461486722</v>
      </c>
      <c r="D6" s="58">
        <f>('Financial Statements'!D40-'Financial Statements'!D38)/'Financial Statements'!D53</f>
        <v>0.90633039517523517</v>
      </c>
      <c r="E6" s="58">
        <f>('Financial Statements'!E40-'Financial Statements'!E38)/'Financial Statements'!E53</f>
        <v>0.72323721145740161</v>
      </c>
    </row>
    <row r="7" spans="1:10" x14ac:dyDescent="0.3">
      <c r="A7" s="14">
        <f t="shared" si="0"/>
        <v>1.3000000000000003</v>
      </c>
      <c r="B7" s="1" t="s">
        <v>17</v>
      </c>
      <c r="C7" s="58">
        <f>('Financial Statements'!C36+'Financial Statements'!C37)/'Financial Statements'!C53</f>
        <v>0.66776911817066897</v>
      </c>
      <c r="D7" s="58">
        <f>('Financial Statements'!D36+'Financial Statements'!D37)/'Financial Statements'!D53</f>
        <v>0.67513671572968947</v>
      </c>
      <c r="E7" s="58">
        <f>('Financial Statements'!E36+'Financial Statements'!E37)/'Financial Statements'!E53</f>
        <v>0.45063805962945563</v>
      </c>
    </row>
    <row r="8" spans="1:10" x14ac:dyDescent="0.3">
      <c r="A8" s="14">
        <f t="shared" si="0"/>
        <v>1.4000000000000004</v>
      </c>
      <c r="B8" s="1" t="s">
        <v>18</v>
      </c>
      <c r="C8" s="64">
        <f>('Financial Statements'!C36+'Financial Statements'!C37+'Financial Statements'!C39)/(('Financial Statements'!C15-'Financial Statements'!C82-'Financial Statements'!C83)/365)</f>
        <v>120.94024217022481</v>
      </c>
      <c r="D8" s="64">
        <f>('Financial Statements'!D36+'Financial Statements'!D37+'Financial Statements'!D39)/(('Financial Statements'!D15-'Financial Statements'!D82-'Financial Statements'!D83)/365)</f>
        <v>118.32242622934334</v>
      </c>
      <c r="E8" s="64">
        <f>('Financial Statements'!E36+'Financial Statements'!E37+'Financial Statements'!E39)/(('Financial Statements'!E15-'Financial Statements'!E82-'Financial Statements'!E83)/365)</f>
        <v>93.188419625028104</v>
      </c>
    </row>
    <row r="9" spans="1:10" x14ac:dyDescent="0.3">
      <c r="A9" s="14">
        <f t="shared" si="0"/>
        <v>1.5000000000000004</v>
      </c>
      <c r="B9" s="1" t="s">
        <v>19</v>
      </c>
      <c r="C9" s="54">
        <f>AVERAGE('Financial Statements'!B38:C38)/('Financial Statements'!C9/365)</f>
        <v>34.646581542774115</v>
      </c>
      <c r="D9" s="54">
        <f>AVERAGE('Financial Statements'!C38:D38)/('Financial Statements'!D9/365)</f>
        <v>37.817567120994035</v>
      </c>
      <c r="E9" s="54">
        <f>AVERAGE('Financial Statements'!D38:E38)/('Financial Statements'!E9/365)</f>
        <v>42.362878292150079</v>
      </c>
    </row>
    <row r="10" spans="1:10" x14ac:dyDescent="0.3">
      <c r="A10" s="14">
        <f t="shared" si="0"/>
        <v>1.6000000000000005</v>
      </c>
      <c r="B10" s="1" t="s">
        <v>20</v>
      </c>
      <c r="C10" s="54">
        <f>AVERAGE('Financial Statements'!B50:C50)/('Financial Statements'!C9/365)</f>
        <v>93.650276245461995</v>
      </c>
      <c r="D10" s="54">
        <f>AVERAGE('Financial Statements'!C50:D50)/('Financial Statements'!D9/365)</f>
        <v>101.3223992450724</v>
      </c>
      <c r="E10" s="54">
        <f>AVERAGE('Financial Statements'!D50:E50)/('Financial Statements'!E9/365)</f>
        <v>100.00027697857917</v>
      </c>
    </row>
    <row r="11" spans="1:10" x14ac:dyDescent="0.3">
      <c r="A11" s="14">
        <f t="shared" si="0"/>
        <v>1.7000000000000006</v>
      </c>
      <c r="B11" s="1" t="s">
        <v>21</v>
      </c>
      <c r="C11" s="54">
        <f>AVERAGE('Financial Statements'!B39:C39)/('Financial Statements'!C7/365)</f>
        <v>21.441613307638114</v>
      </c>
      <c r="D11" s="54">
        <f>AVERAGE('Financial Statements'!C39:D39)/('Financial Statements'!D7/365)</f>
        <v>22.30956085496209</v>
      </c>
      <c r="E11" s="54">
        <f>AVERAGE('Financial Statements'!D39:E39)/('Financial Statements'!E7/365)</f>
        <v>26.719380796641133</v>
      </c>
    </row>
    <row r="12" spans="1:10" x14ac:dyDescent="0.3">
      <c r="A12" s="14">
        <f t="shared" si="0"/>
        <v>1.8000000000000007</v>
      </c>
      <c r="B12" s="1" t="s">
        <v>22</v>
      </c>
      <c r="C12" s="54">
        <f>C11+C9-C10</f>
        <v>-37.562081395049766</v>
      </c>
      <c r="D12" s="54">
        <f t="shared" ref="D12:E12" si="1">D11+D9-D10</f>
        <v>-41.195271269116276</v>
      </c>
      <c r="E12" s="54">
        <f t="shared" si="1"/>
        <v>-30.918017889787961</v>
      </c>
    </row>
    <row r="13" spans="1:10" x14ac:dyDescent="0.3">
      <c r="A13" s="14">
        <f t="shared" si="0"/>
        <v>1.9000000000000008</v>
      </c>
      <c r="B13" s="1" t="s">
        <v>23</v>
      </c>
      <c r="C13" s="61">
        <f>C14/'Financial Statements'!C7</f>
        <v>1.6442869576028845E-2</v>
      </c>
      <c r="D13" s="61">
        <f>D14/'Financial Statements'!D7</f>
        <v>4.1109186032156859E-2</v>
      </c>
      <c r="E13" s="61">
        <f>E14/'Financial Statements'!E7</f>
        <v>-1.6735962084349094E-2</v>
      </c>
    </row>
    <row r="14" spans="1:10" x14ac:dyDescent="0.3">
      <c r="A14" s="14"/>
      <c r="B14" s="11" t="s">
        <v>24</v>
      </c>
      <c r="C14" s="10">
        <f>'Financial Statements'!C40-'Financial Statements'!C53</f>
        <v>6348</v>
      </c>
      <c r="D14" s="10">
        <f>'Financial Statements'!D40-'Financial Statements'!D53</f>
        <v>19314</v>
      </c>
      <c r="E14" s="10">
        <f>'Financial Statements'!E40-'Financial Statements'!E53</f>
        <v>-8602</v>
      </c>
    </row>
    <row r="15" spans="1:10" x14ac:dyDescent="0.3">
      <c r="A15" s="14"/>
    </row>
    <row r="16" spans="1:10" x14ac:dyDescent="0.3">
      <c r="A16" s="14">
        <f>+A4+1</f>
        <v>2</v>
      </c>
      <c r="B16" s="15" t="s">
        <v>25</v>
      </c>
    </row>
    <row r="17" spans="1:10" x14ac:dyDescent="0.3">
      <c r="A17" s="14">
        <f>+A16+0.1</f>
        <v>2.1</v>
      </c>
      <c r="B17" s="1" t="s">
        <v>11</v>
      </c>
      <c r="C17" s="61">
        <f>('Financial Statements'!C7-'Financial Statements'!C9)/'Financial Statements'!C7</f>
        <v>0.3956779186870571</v>
      </c>
      <c r="D17" s="61">
        <f>('Financial Statements'!D7-'Financial Statements'!D9)/'Financial Statements'!D7</f>
        <v>0.42032514441639601</v>
      </c>
      <c r="E17" s="61">
        <f>('Financial Statements'!E7-'Financial Statements'!E9)/'Financial Statements'!E7</f>
        <v>0.43805339865326287</v>
      </c>
    </row>
    <row r="18" spans="1:10" x14ac:dyDescent="0.3">
      <c r="A18" s="14">
        <f>+A17+0.1</f>
        <v>2.2000000000000002</v>
      </c>
      <c r="B18" s="1" t="s">
        <v>26</v>
      </c>
      <c r="C18" s="61">
        <f>C19/'Financial Statements'!C7</f>
        <v>0.12453634630527581</v>
      </c>
      <c r="D18" s="61">
        <f>D19/'Financial Statements'!D7</f>
        <v>0.12624355607017126</v>
      </c>
      <c r="E18" s="61">
        <f>E19/'Financial Statements'!E7</f>
        <v>0.10539064521589235</v>
      </c>
    </row>
    <row r="19" spans="1:10" x14ac:dyDescent="0.3">
      <c r="A19" s="14"/>
      <c r="B19" s="11" t="s">
        <v>27</v>
      </c>
      <c r="C19" s="10">
        <f>'Financial Statements'!C16+'Financial Statements'!C82</f>
        <v>48079</v>
      </c>
      <c r="D19" s="10">
        <f>'Financial Statements'!D16+'Financial Statements'!D82</f>
        <v>59312</v>
      </c>
      <c r="E19" s="10">
        <f>'Financial Statements'!E16+'Financial Statements'!E82</f>
        <v>54169</v>
      </c>
    </row>
    <row r="20" spans="1:10" x14ac:dyDescent="0.3">
      <c r="A20" s="14">
        <f>+A18+0.1</f>
        <v>2.3000000000000003</v>
      </c>
      <c r="B20" s="1" t="s">
        <v>28</v>
      </c>
      <c r="C20" s="61">
        <f>C21/'Financial Statements'!C7</f>
        <v>5.9313999751336569E-2</v>
      </c>
      <c r="D20" s="61">
        <f>D21/'Financial Statements'!D7</f>
        <v>5.2954097509269465E-2</v>
      </c>
      <c r="E20" s="61">
        <f>E21/'Financial Statements'!E7</f>
        <v>2.3829581912242232E-2</v>
      </c>
    </row>
    <row r="21" spans="1:10" x14ac:dyDescent="0.3">
      <c r="A21" s="14"/>
      <c r="B21" s="11" t="s">
        <v>29</v>
      </c>
      <c r="C21" s="10">
        <f>'Financial Statements'!C16</f>
        <v>22899</v>
      </c>
      <c r="D21" s="10">
        <f>'Financial Statements'!D16</f>
        <v>24879</v>
      </c>
      <c r="E21" s="10">
        <f>'Financial Statements'!E16</f>
        <v>12248</v>
      </c>
    </row>
    <row r="22" spans="1:10" x14ac:dyDescent="0.3">
      <c r="A22" s="14">
        <f>+A20+0.1</f>
        <v>2.4000000000000004</v>
      </c>
      <c r="B22" s="1" t="s">
        <v>30</v>
      </c>
      <c r="C22" s="61">
        <f>'Financial Statements'!C24/'Financial Statements'!C7</f>
        <v>5.5252496995316841E-2</v>
      </c>
      <c r="D22" s="61">
        <f>'Financial Statements'!D24/'Financial Statements'!D7</f>
        <v>7.1014128755145567E-2</v>
      </c>
      <c r="E22" s="61">
        <f>'Financial Statements'!E24/'Financial Statements'!E7</f>
        <v>-5.2958950004183018E-3</v>
      </c>
    </row>
    <row r="23" spans="1:10" x14ac:dyDescent="0.3">
      <c r="A23" s="14"/>
    </row>
    <row r="24" spans="1:10" x14ac:dyDescent="0.3">
      <c r="A24" s="14">
        <f>+A16+1</f>
        <v>3</v>
      </c>
      <c r="B24" s="9" t="s">
        <v>31</v>
      </c>
    </row>
    <row r="25" spans="1:10" x14ac:dyDescent="0.3">
      <c r="A25" s="14">
        <f>+A24+0.1</f>
        <v>3.1</v>
      </c>
      <c r="B25" s="1" t="s">
        <v>32</v>
      </c>
      <c r="C25" s="54">
        <f>('Financial Statements'!C55+'Financial Statements'!C56+'Financial Statements'!C116)/'Financial Statements'!C66</f>
        <v>0.91584942829000904</v>
      </c>
      <c r="D25" s="54">
        <f>('Financial Statements'!D55+'Financial Statements'!D56+'Financial Statements'!D116)/'Financial Statements'!D66</f>
        <v>0.85273246772035149</v>
      </c>
      <c r="E25" s="54">
        <f>('Financial Statements'!E55+'Financial Statements'!E56+'Financial Statements'!E116)/'Financial Statements'!E66</f>
        <v>0.97996480488623217</v>
      </c>
    </row>
    <row r="26" spans="1:10" x14ac:dyDescent="0.3">
      <c r="A26" s="14">
        <f t="shared" ref="A26:A30" si="2">+A25+0.1</f>
        <v>3.2</v>
      </c>
      <c r="B26" s="1" t="s">
        <v>33</v>
      </c>
      <c r="C26" s="54">
        <f>('Financial Statements'!C55+'Financial Statements'!C56+'Financial Statements'!C116)/'Financial Statements'!C46</f>
        <v>0.26633042232911469</v>
      </c>
      <c r="D26" s="54">
        <f>('Financial Statements'!D55+'Financial Statements'!D56+'Financial Statements'!D116)/'Financial Statements'!D46</f>
        <v>0.28031454123062949</v>
      </c>
      <c r="E26" s="54">
        <f>('Financial Statements'!E55+'Financial Statements'!E56+'Financial Statements'!E116)/'Financial Statements'!E46</f>
        <v>0.30932512022477981</v>
      </c>
    </row>
    <row r="27" spans="1:10" x14ac:dyDescent="0.3">
      <c r="A27" s="14">
        <f t="shared" si="2"/>
        <v>3.3000000000000003</v>
      </c>
      <c r="B27" s="1" t="s">
        <v>34</v>
      </c>
      <c r="C27" s="54">
        <f>('Financial Statements'!C55+'Financial Statements'!C56)/'Financial Statements'!C66</f>
        <v>0.90348379084407515</v>
      </c>
      <c r="D27" s="54">
        <f>('Financial Statements'!D55+'Financial Statements'!D56)/'Financial Statements'!D66</f>
        <v>0.84194726753227966</v>
      </c>
      <c r="E27" s="54">
        <f>('Financial Statements'!E55+'Financial Statements'!E56)/'Financial Statements'!E66</f>
        <v>0.95942975698937982</v>
      </c>
    </row>
    <row r="28" spans="1:10" x14ac:dyDescent="0.3">
      <c r="A28" s="14">
        <f t="shared" si="2"/>
        <v>3.4000000000000004</v>
      </c>
      <c r="B28" s="1" t="s">
        <v>35</v>
      </c>
      <c r="C28" s="54">
        <f>C21/-'Financial Statements'!C18</f>
        <v>13.903460837887067</v>
      </c>
      <c r="D28" s="54">
        <f>D21/-'Financial Statements'!D18</f>
        <v>13.752902155887231</v>
      </c>
      <c r="E28" s="54">
        <f>E21/-'Financial Statements'!E18</f>
        <v>5.1744824672581329</v>
      </c>
    </row>
    <row r="29" spans="1:10" x14ac:dyDescent="0.3">
      <c r="A29" s="14">
        <f t="shared" si="2"/>
        <v>3.5000000000000004</v>
      </c>
      <c r="B29" s="1" t="s">
        <v>36</v>
      </c>
      <c r="C29" s="54">
        <f>(C19-'Financial Statements'!C114)/(-'Financial Statements'!C18+'Financial Statements'!C116)</f>
        <v>16.547466095645966</v>
      </c>
      <c r="D29" s="54">
        <f>(D19-'Financial Statements'!D114)/(-'Financial Statements'!D18+'Financial Statements'!D116)</f>
        <v>16.855757575757575</v>
      </c>
      <c r="E29" s="54">
        <f>(E19-'Financial Statements'!E114)/(-'Financial Statements'!E18+'Financial Statements'!E116)</f>
        <v>8.9701826313827802</v>
      </c>
    </row>
    <row r="30" spans="1:10" x14ac:dyDescent="0.3">
      <c r="A30" s="14">
        <f t="shared" si="2"/>
        <v>3.6000000000000005</v>
      </c>
      <c r="B30" s="1" t="s">
        <v>37</v>
      </c>
      <c r="C30" s="54">
        <f>C31/'Financial Statements'!C28</f>
        <v>4.7960019990004996</v>
      </c>
      <c r="D30" s="54">
        <f>D31/'Financial Statements'!D28</f>
        <v>1.5340515963230206</v>
      </c>
      <c r="E30" s="54">
        <f>E31/'Financial Statements'!E28</f>
        <v>2.6428501324958287</v>
      </c>
    </row>
    <row r="31" spans="1:10" x14ac:dyDescent="0.3">
      <c r="A31" s="14"/>
      <c r="B31" s="11" t="s">
        <v>38</v>
      </c>
      <c r="C31" s="10">
        <f>H36</f>
        <v>47984</v>
      </c>
      <c r="D31" s="10">
        <f t="shared" ref="D31:E31" si="3">I36</f>
        <v>15520</v>
      </c>
      <c r="E31" s="10">
        <f t="shared" si="3"/>
        <v>26928</v>
      </c>
      <c r="G31" t="s">
        <v>150</v>
      </c>
      <c r="H31" s="10">
        <f>'Financial Statements'!C24</f>
        <v>21331</v>
      </c>
      <c r="I31" s="10">
        <f>'Financial Statements'!D24</f>
        <v>33364</v>
      </c>
      <c r="J31" s="10">
        <f>'Financial Statements'!E24</f>
        <v>-2722</v>
      </c>
    </row>
    <row r="32" spans="1:10" x14ac:dyDescent="0.3">
      <c r="A32" s="14"/>
      <c r="G32" t="s">
        <v>151</v>
      </c>
      <c r="H32" s="10">
        <f>SUM('Financial Statements'!C82:C85)</f>
        <v>31252</v>
      </c>
      <c r="I32" s="10">
        <f>SUM('Financial Statements'!D82:D85)</f>
        <v>32574</v>
      </c>
      <c r="J32" s="10">
        <f>SUM('Financial Statements'!E82:E85)</f>
        <v>70360</v>
      </c>
    </row>
    <row r="33" spans="1:10" x14ac:dyDescent="0.3">
      <c r="A33" s="14">
        <f>+A24+1</f>
        <v>4</v>
      </c>
      <c r="B33" s="15" t="s">
        <v>39</v>
      </c>
      <c r="G33" t="s">
        <v>152</v>
      </c>
      <c r="H33" s="10">
        <f>-'Financial Statements'!C72</f>
        <v>31549</v>
      </c>
      <c r="I33" s="10">
        <f>-'Financial Statements'!D72</f>
        <v>-1313</v>
      </c>
      <c r="J33" s="10">
        <f>-'Financial Statements'!E72</f>
        <v>1893</v>
      </c>
    </row>
    <row r="34" spans="1:10" x14ac:dyDescent="0.3">
      <c r="A34" s="14">
        <f>+A33+0.1</f>
        <v>4.0999999999999996</v>
      </c>
      <c r="B34" s="1" t="s">
        <v>40</v>
      </c>
      <c r="C34" s="54">
        <f>'Financial Statements'!C7/AVERAGE('Financial Statements'!B46:C46)</f>
        <v>1.4130073950988484</v>
      </c>
      <c r="D34" s="54">
        <f>'Financial Statements'!D7/AVERAGE('Financial Statements'!C46:D46)</f>
        <v>1.2668036411484285</v>
      </c>
      <c r="E34" s="54">
        <f>'Financial Statements'!E7/AVERAGE('Financial Statements'!D46:E46)</f>
        <v>1.1638791518346421</v>
      </c>
      <c r="G34" t="s">
        <v>153</v>
      </c>
      <c r="H34" s="10">
        <f>SUM('Financial Statements'!C94:C95)</f>
        <v>-35044</v>
      </c>
      <c r="I34" s="10">
        <f>SUM('Financial Statements'!D94:D95)</f>
        <v>-55396</v>
      </c>
      <c r="J34" s="10">
        <f>SUM('Financial Statements'!E94:E95)</f>
        <v>-58321</v>
      </c>
    </row>
    <row r="35" spans="1:10" x14ac:dyDescent="0.3">
      <c r="A35" s="14">
        <f t="shared" ref="A35:A37" si="4">+A34+0.1</f>
        <v>4.1999999999999993</v>
      </c>
      <c r="B35" s="1" t="s">
        <v>41</v>
      </c>
      <c r="C35" s="54">
        <f>'Financial Statements'!C7/AVERAGE('Financial Statements'!B42:C42)</f>
        <v>4.1552693750369984</v>
      </c>
      <c r="D35" s="54">
        <f>'Financial Statements'!D7/AVERAGE('Financial Statements'!C42:D42)</f>
        <v>3.4369465425483274</v>
      </c>
      <c r="E35" s="54">
        <f>'Financial Statements'!E7/AVERAGE('Financial Statements'!D42:E42)</f>
        <v>2.9624721898811512</v>
      </c>
      <c r="G35" t="s">
        <v>154</v>
      </c>
      <c r="H35" s="10">
        <f>SUM('Financial Statements'!C102:C107)</f>
        <v>-1104</v>
      </c>
      <c r="I35" s="10">
        <f>SUM('Financial Statements'!D102:D107)</f>
        <v>6291</v>
      </c>
      <c r="J35" s="10">
        <f>SUM('Financial Statements'!E102:E107)</f>
        <v>15718</v>
      </c>
    </row>
    <row r="36" spans="1:10" x14ac:dyDescent="0.3">
      <c r="A36" s="14">
        <f t="shared" si="4"/>
        <v>4.2999999999999989</v>
      </c>
      <c r="B36" s="1" t="s">
        <v>42</v>
      </c>
      <c r="C36" s="54">
        <f>'Financial Statements'!C9/AVERAGE('Financial Statements'!B38:C38)</f>
        <v>10.53494987808182</v>
      </c>
      <c r="D36" s="54">
        <f>'Financial Statements'!D9/AVERAGE('Financial Statements'!C38:D38)</f>
        <v>9.6515991849029863</v>
      </c>
      <c r="E36" s="54">
        <f>'Financial Statements'!E9/AVERAGE('Financial Statements'!D38:E38)</f>
        <v>8.6160340070102173</v>
      </c>
      <c r="G36" s="9" t="s">
        <v>38</v>
      </c>
      <c r="H36" s="63">
        <f>SUM(H31:H35)</f>
        <v>47984</v>
      </c>
      <c r="I36" s="63">
        <f t="shared" ref="I36:J36" si="5">SUM(I31:I35)</f>
        <v>15520</v>
      </c>
      <c r="J36" s="63">
        <f t="shared" si="5"/>
        <v>26928</v>
      </c>
    </row>
    <row r="37" spans="1:10" x14ac:dyDescent="0.3">
      <c r="A37" s="14">
        <f t="shared" si="4"/>
        <v>4.3999999999999986</v>
      </c>
      <c r="B37" s="1" t="s">
        <v>43</v>
      </c>
      <c r="C37" s="65">
        <f>'Financial Statements'!C24/AVERAGE('Financial Statements'!B46:C46)</f>
        <v>7.8072186852059591E-2</v>
      </c>
      <c r="D37" s="65">
        <f>'Financial Statements'!D24/AVERAGE('Financial Statements'!C46:D46)</f>
        <v>8.9960956880001719E-2</v>
      </c>
      <c r="E37" s="65">
        <f>'Financial Statements'!E24/AVERAGE('Financial Statements'!D46:E46)</f>
        <v>-6.1637817812921752E-3</v>
      </c>
    </row>
    <row r="38" spans="1:10" x14ac:dyDescent="0.3">
      <c r="A38" s="14"/>
    </row>
    <row r="39" spans="1:10" x14ac:dyDescent="0.3">
      <c r="A39" s="14">
        <f>+A33+1</f>
        <v>5</v>
      </c>
      <c r="B39" s="15" t="s">
        <v>44</v>
      </c>
      <c r="H39" s="51" t="s">
        <v>158</v>
      </c>
      <c r="I39" s="51"/>
      <c r="J39" s="51"/>
    </row>
    <row r="40" spans="1:10" x14ac:dyDescent="0.3">
      <c r="A40" s="14">
        <f>+A39+0.1</f>
        <v>5.0999999999999996</v>
      </c>
      <c r="B40" s="1" t="s">
        <v>45</v>
      </c>
      <c r="C40" s="58">
        <f>H41/C41</f>
        <v>76.382459800290647</v>
      </c>
      <c r="D40" s="58">
        <f>I41/D41</f>
        <v>50.554676897254531</v>
      </c>
      <c r="E40" s="58">
        <f>J41/E41</f>
        <v>-314.42909625275536</v>
      </c>
      <c r="H40" s="66">
        <v>44196</v>
      </c>
      <c r="I40" s="66">
        <v>44561</v>
      </c>
      <c r="J40" s="66">
        <v>44926</v>
      </c>
    </row>
    <row r="41" spans="1:10" x14ac:dyDescent="0.3">
      <c r="A41" s="14">
        <f t="shared" ref="A41:A44" si="6">+A40+0.1</f>
        <v>5.1999999999999993</v>
      </c>
      <c r="B41" s="11" t="s">
        <v>46</v>
      </c>
      <c r="C41" s="60">
        <f>'Financial Statements'!C25</f>
        <v>2.1320339830084958</v>
      </c>
      <c r="D41" s="60">
        <f>'Financial Statements'!D25</f>
        <v>3.2978155579717305</v>
      </c>
      <c r="E41" s="60">
        <f>'Financial Statements'!E25</f>
        <v>-0.2671508489547551</v>
      </c>
      <c r="H41" s="53">
        <v>162.85</v>
      </c>
      <c r="I41" s="53">
        <v>166.72</v>
      </c>
      <c r="J41" s="53">
        <v>84</v>
      </c>
    </row>
    <row r="42" spans="1:10" x14ac:dyDescent="0.3">
      <c r="A42" s="14">
        <f t="shared" si="6"/>
        <v>5.2999999999999989</v>
      </c>
      <c r="B42" s="1" t="s">
        <v>47</v>
      </c>
      <c r="C42" s="58">
        <f>H41/C43</f>
        <v>17.443730996531198</v>
      </c>
      <c r="D42" s="58">
        <f t="shared" ref="D42:E42" si="7">I41/D43</f>
        <v>12.200848059604326</v>
      </c>
      <c r="E42" s="58">
        <f t="shared" si="7"/>
        <v>5.8604383640434667</v>
      </c>
    </row>
    <row r="43" spans="1:10" x14ac:dyDescent="0.3">
      <c r="A43" s="14">
        <f t="shared" si="6"/>
        <v>5.3999999999999986</v>
      </c>
      <c r="B43" s="11" t="s">
        <v>48</v>
      </c>
      <c r="C43" s="53">
        <f>'Financial Statements'!C66/'Financial Statements'!C28</f>
        <v>9.3357321339330337</v>
      </c>
      <c r="D43" s="53">
        <f>'Financial Statements'!D66/'Financial Statements'!D28</f>
        <v>13.66462390036572</v>
      </c>
      <c r="E43" s="53">
        <f>'Financial Statements'!E66/'Financial Statements'!E28</f>
        <v>14.333398763372264</v>
      </c>
    </row>
    <row r="44" spans="1:10" x14ac:dyDescent="0.3">
      <c r="A44" s="14">
        <f t="shared" si="6"/>
        <v>5.4999999999999982</v>
      </c>
      <c r="B44" s="1" t="s">
        <v>49</v>
      </c>
      <c r="C44" s="67" t="s">
        <v>159</v>
      </c>
      <c r="D44" s="67" t="s">
        <v>159</v>
      </c>
      <c r="E44" s="67" t="s">
        <v>159</v>
      </c>
    </row>
    <row r="45" spans="1:10" x14ac:dyDescent="0.3">
      <c r="A45" s="14"/>
      <c r="B45" s="11" t="s">
        <v>50</v>
      </c>
      <c r="C45" s="67" t="s">
        <v>159</v>
      </c>
      <c r="D45" s="67" t="s">
        <v>159</v>
      </c>
      <c r="E45" s="67" t="s">
        <v>159</v>
      </c>
    </row>
    <row r="46" spans="1:10" x14ac:dyDescent="0.3">
      <c r="A46" s="14">
        <f>+A44+0.1</f>
        <v>5.5999999999999979</v>
      </c>
      <c r="B46" s="1" t="s">
        <v>51</v>
      </c>
      <c r="C46" s="67" t="s">
        <v>159</v>
      </c>
      <c r="D46" s="67" t="s">
        <v>159</v>
      </c>
      <c r="E46" s="67" t="s">
        <v>159</v>
      </c>
    </row>
    <row r="47" spans="1:10" x14ac:dyDescent="0.3">
      <c r="A47" s="14">
        <f t="shared" ref="A47:A50" si="8">+A45+0.1</f>
        <v>0.1</v>
      </c>
      <c r="B47" s="1" t="s">
        <v>52</v>
      </c>
      <c r="C47" s="61">
        <f>'Financial Statements'!C24/AVERAGE('Financial Statements'!B66:C66)</f>
        <v>0.27441722842587352</v>
      </c>
      <c r="D47" s="61">
        <f>'Financial Statements'!D24/AVERAGE('Financial Statements'!C66:D66)</f>
        <v>0.2880564992726064</v>
      </c>
      <c r="E47" s="61">
        <f>'Financial Statements'!E24/AVERAGE('Financial Statements'!D66:E66)</f>
        <v>-1.914959477712742E-2</v>
      </c>
    </row>
    <row r="48" spans="1:10" x14ac:dyDescent="0.3">
      <c r="A48" s="14">
        <f t="shared" si="8"/>
        <v>5.6999999999999975</v>
      </c>
      <c r="B48" s="1" t="s">
        <v>53</v>
      </c>
      <c r="C48" s="61">
        <f>C21/AVERAGE(('Financial Statements'!C46-'Financial Statements'!C53),('Financial Statements'!B46-'Financial Statements'!B53))</f>
        <v>0.13784364597316445</v>
      </c>
      <c r="D48" s="61">
        <f>D21/AVERAGE(('Financial Statements'!D46-'Financial Statements'!D53),('Financial Statements'!C46-'Financial Statements'!C53))</f>
        <v>0.1051759379234104</v>
      </c>
      <c r="E48" s="61">
        <f>E21/AVERAGE(('Financial Statements'!E46-'Financial Statements'!E53),('Financial Statements'!D46-'Financial Statements'!D53))</f>
        <v>4.1833101363640247E-2</v>
      </c>
    </row>
    <row r="49" spans="1:10" x14ac:dyDescent="0.3">
      <c r="A49" s="14">
        <f t="shared" si="8"/>
        <v>0.2</v>
      </c>
      <c r="B49" s="1" t="s">
        <v>43</v>
      </c>
      <c r="C49" s="61">
        <f>C37</f>
        <v>7.8072186852059591E-2</v>
      </c>
      <c r="D49" s="61">
        <f t="shared" ref="D49:E49" si="9">D37</f>
        <v>8.9960956880001719E-2</v>
      </c>
      <c r="E49" s="61">
        <f t="shared" si="9"/>
        <v>-6.1637817812921752E-3</v>
      </c>
    </row>
    <row r="50" spans="1:10" x14ac:dyDescent="0.3">
      <c r="A50" s="14">
        <f t="shared" si="8"/>
        <v>5.7999999999999972</v>
      </c>
      <c r="B50" s="1" t="s">
        <v>54</v>
      </c>
      <c r="C50" s="58">
        <f>C51/C19</f>
        <v>33.912149795128848</v>
      </c>
      <c r="D50" s="58">
        <f t="shared" ref="D50:E50" si="10">D51/D19</f>
        <v>28.806029808470463</v>
      </c>
      <c r="E50" s="58">
        <f t="shared" si="10"/>
        <v>17.149421255699753</v>
      </c>
    </row>
    <row r="51" spans="1:10" x14ac:dyDescent="0.3">
      <c r="A51" s="14"/>
      <c r="B51" s="11" t="s">
        <v>55</v>
      </c>
      <c r="C51" s="59">
        <f>H54</f>
        <v>1630462.25</v>
      </c>
      <c r="D51" s="59">
        <f t="shared" ref="D51:E51" si="11">I54</f>
        <v>1708543.24</v>
      </c>
      <c r="E51" s="59">
        <f t="shared" si="11"/>
        <v>928967</v>
      </c>
      <c r="G51" t="s">
        <v>160</v>
      </c>
      <c r="H51" s="10">
        <f>H41*'Financial Statements'!C28</f>
        <v>1629314.25</v>
      </c>
      <c r="I51" s="10">
        <f>I41*'Financial Statements'!D28</f>
        <v>1686706.24</v>
      </c>
      <c r="J51" s="10">
        <f>J41*'Financial Statements'!E28</f>
        <v>855876</v>
      </c>
    </row>
    <row r="52" spans="1:10" x14ac:dyDescent="0.3">
      <c r="G52" t="s">
        <v>161</v>
      </c>
      <c r="H52" s="68">
        <f>'Financial Statements'!C55+'Financial Statements'!C56+'Financial Statements'!C116</f>
        <v>85544</v>
      </c>
      <c r="I52" s="68">
        <f>'Financial Statements'!D55+'Financial Statements'!D56+'Financial Statements'!D116</f>
        <v>117886</v>
      </c>
      <c r="J52" s="68">
        <f>'Financial Statements'!E55+'Financial Statements'!E56+'Financial Statements'!E116</f>
        <v>143117</v>
      </c>
    </row>
    <row r="53" spans="1:10" x14ac:dyDescent="0.3">
      <c r="G53" t="s">
        <v>162</v>
      </c>
      <c r="H53" s="10">
        <f>'Financial Statements'!C36+'Financial Statements'!C37</f>
        <v>84396</v>
      </c>
      <c r="I53" s="10">
        <f>'Financial Statements'!D36+'Financial Statements'!D37</f>
        <v>96049</v>
      </c>
      <c r="J53" s="10">
        <f>'Financial Statements'!E36+'Financial Statements'!E37</f>
        <v>70026</v>
      </c>
    </row>
    <row r="54" spans="1:10" x14ac:dyDescent="0.3">
      <c r="G54" s="9" t="s">
        <v>163</v>
      </c>
      <c r="H54" s="63">
        <f>H51+H52-H53</f>
        <v>1630462.25</v>
      </c>
      <c r="I54" s="63">
        <f t="shared" ref="I54:J54" si="12">I51+I52-I53</f>
        <v>1708543.24</v>
      </c>
      <c r="J54" s="63">
        <f t="shared" si="12"/>
        <v>928967</v>
      </c>
    </row>
  </sheetData>
  <mergeCells count="2">
    <mergeCell ref="C2:E2"/>
    <mergeCell ref="H39:J39"/>
  </mergeCells>
  <pageMargins left="0.7" right="0.7" top="0.75" bottom="0.75" header="0.3" footer="0.3"/>
  <ignoredErrors>
    <ignoredError sqref="C9 D9:E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Sachin Dugar</cp:lastModifiedBy>
  <dcterms:created xsi:type="dcterms:W3CDTF">2020-05-19T16:15:53Z</dcterms:created>
  <dcterms:modified xsi:type="dcterms:W3CDTF">2024-09-13T11:55:47Z</dcterms:modified>
</cp:coreProperties>
</file>