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13_ncr:1_{7B32B1DA-E7C5-45F8-B29E-14855CC6BEA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4" l="1"/>
  <c r="D58" i="4"/>
  <c r="E58" i="4"/>
  <c r="F58" i="4"/>
  <c r="G58" i="4"/>
  <c r="H58" i="4"/>
  <c r="I58" i="4"/>
  <c r="C57" i="4"/>
  <c r="D57" i="4"/>
  <c r="E57" i="4"/>
  <c r="F57" i="4"/>
  <c r="G57" i="4"/>
  <c r="H57" i="4"/>
  <c r="I57" i="4"/>
  <c r="B58" i="4"/>
  <c r="B65" i="4"/>
  <c r="C65" i="4"/>
  <c r="D65" i="4"/>
  <c r="E65" i="4"/>
  <c r="F65" i="4"/>
  <c r="G65" i="4"/>
  <c r="H65" i="4"/>
  <c r="I65" i="4"/>
  <c r="D22" i="4"/>
  <c r="C22" i="4"/>
  <c r="E22" i="4"/>
  <c r="B22" i="4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7" i="4"/>
  <c r="D17" i="4"/>
  <c r="E17" i="4"/>
  <c r="F17" i="4"/>
  <c r="G17" i="4"/>
  <c r="H17" i="4"/>
  <c r="I17" i="4"/>
  <c r="B17" i="4"/>
  <c r="F22" i="4"/>
  <c r="G22" i="4"/>
  <c r="H22" i="4"/>
  <c r="I22" i="4"/>
  <c r="C55" i="4"/>
  <c r="D55" i="4"/>
  <c r="E55" i="4"/>
  <c r="F55" i="4"/>
  <c r="G55" i="4"/>
  <c r="H55" i="4"/>
  <c r="I55" i="4"/>
  <c r="B55" i="4"/>
  <c r="C49" i="4"/>
  <c r="D49" i="4"/>
  <c r="E49" i="4"/>
  <c r="F49" i="4"/>
  <c r="G49" i="4"/>
  <c r="H49" i="4"/>
  <c r="I49" i="4"/>
  <c r="B49" i="4"/>
  <c r="C64" i="4"/>
  <c r="D64" i="4"/>
  <c r="E64" i="4"/>
  <c r="F64" i="4"/>
  <c r="G64" i="4"/>
  <c r="H64" i="4"/>
  <c r="I64" i="4"/>
  <c r="B64" i="4"/>
  <c r="C60" i="4"/>
  <c r="D60" i="4"/>
  <c r="E60" i="4"/>
  <c r="F60" i="4"/>
  <c r="G60" i="4"/>
  <c r="H60" i="4"/>
  <c r="I60" i="4"/>
  <c r="B60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B23" i="4"/>
  <c r="C69" i="4"/>
  <c r="D69" i="4"/>
  <c r="E69" i="4"/>
  <c r="F69" i="4"/>
  <c r="G69" i="4"/>
  <c r="H69" i="4"/>
  <c r="I69" i="4"/>
  <c r="C68" i="4"/>
  <c r="D68" i="4"/>
  <c r="E68" i="4"/>
  <c r="F68" i="4"/>
  <c r="F66" i="4" s="1"/>
  <c r="G68" i="4"/>
  <c r="H68" i="4"/>
  <c r="I68" i="4"/>
  <c r="I66" i="4" s="1"/>
  <c r="C67" i="4"/>
  <c r="D67" i="4"/>
  <c r="E67" i="4"/>
  <c r="F67" i="4"/>
  <c r="G67" i="4"/>
  <c r="H67" i="4"/>
  <c r="I67" i="4"/>
  <c r="C66" i="4"/>
  <c r="E66" i="4"/>
  <c r="B69" i="4"/>
  <c r="B66" i="4"/>
  <c r="B67" i="4"/>
  <c r="B68" i="4"/>
  <c r="D59" i="4"/>
  <c r="C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2" i="4"/>
  <c r="D62" i="4"/>
  <c r="I62" i="4"/>
  <c r="C54" i="4"/>
  <c r="D54" i="4"/>
  <c r="E54" i="4"/>
  <c r="F54" i="4"/>
  <c r="G54" i="4"/>
  <c r="H54" i="4"/>
  <c r="I54" i="4"/>
  <c r="B54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3" i="4"/>
  <c r="D43" i="4"/>
  <c r="E43" i="4"/>
  <c r="F43" i="4"/>
  <c r="G43" i="4"/>
  <c r="H43" i="4"/>
  <c r="I43" i="4"/>
  <c r="B43" i="4"/>
  <c r="I40" i="4"/>
  <c r="H40" i="4"/>
  <c r="G40" i="4"/>
  <c r="F40" i="4"/>
  <c r="E40" i="4"/>
  <c r="D40" i="4"/>
  <c r="C40" i="4"/>
  <c r="B40" i="4"/>
  <c r="C42" i="4"/>
  <c r="D42" i="4"/>
  <c r="E42" i="4"/>
  <c r="F42" i="4"/>
  <c r="G42" i="4"/>
  <c r="H42" i="4"/>
  <c r="I42" i="4"/>
  <c r="B42" i="4"/>
  <c r="C38" i="4"/>
  <c r="D38" i="4"/>
  <c r="E38" i="4"/>
  <c r="F38" i="4"/>
  <c r="G38" i="4"/>
  <c r="H38" i="4"/>
  <c r="I38" i="4"/>
  <c r="B38" i="4"/>
  <c r="C32" i="4"/>
  <c r="D32" i="4"/>
  <c r="E32" i="4"/>
  <c r="F32" i="4"/>
  <c r="G32" i="4"/>
  <c r="H32" i="4"/>
  <c r="I32" i="4"/>
  <c r="B32" i="4"/>
  <c r="C31" i="4"/>
  <c r="D31" i="4"/>
  <c r="E31" i="4"/>
  <c r="F31" i="4"/>
  <c r="G31" i="4"/>
  <c r="H31" i="4"/>
  <c r="I31" i="4"/>
  <c r="B31" i="4"/>
  <c r="B16" i="4"/>
  <c r="C15" i="4"/>
  <c r="D15" i="4"/>
  <c r="E15" i="4"/>
  <c r="F15" i="4"/>
  <c r="G15" i="4"/>
  <c r="H15" i="4"/>
  <c r="I15" i="4"/>
  <c r="B15" i="4"/>
  <c r="C53" i="4"/>
  <c r="D53" i="4"/>
  <c r="E53" i="4"/>
  <c r="F53" i="4"/>
  <c r="G53" i="4"/>
  <c r="H53" i="4"/>
  <c r="I53" i="4"/>
  <c r="B53" i="4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C52" i="4"/>
  <c r="D52" i="4"/>
  <c r="E52" i="4"/>
  <c r="F52" i="4"/>
  <c r="G52" i="4"/>
  <c r="H52" i="4"/>
  <c r="I52" i="4"/>
  <c r="C63" i="4"/>
  <c r="D63" i="4"/>
  <c r="E63" i="4"/>
  <c r="F63" i="4"/>
  <c r="G63" i="4"/>
  <c r="H63" i="4"/>
  <c r="I63" i="4"/>
  <c r="B52" i="4"/>
  <c r="B47" i="4"/>
  <c r="B46" i="4"/>
  <c r="C14" i="4"/>
  <c r="D14" i="4"/>
  <c r="E14" i="4"/>
  <c r="F14" i="4"/>
  <c r="G14" i="4"/>
  <c r="H14" i="4"/>
  <c r="I14" i="4"/>
  <c r="B14" i="4"/>
  <c r="C39" i="4"/>
  <c r="D39" i="4"/>
  <c r="E39" i="4"/>
  <c r="F39" i="4"/>
  <c r="G39" i="4"/>
  <c r="H39" i="4"/>
  <c r="I39" i="4"/>
  <c r="B39" i="4"/>
  <c r="C35" i="4"/>
  <c r="D35" i="4"/>
  <c r="E35" i="4"/>
  <c r="F35" i="4"/>
  <c r="G35" i="4"/>
  <c r="H35" i="4"/>
  <c r="I35" i="4"/>
  <c r="B35" i="4"/>
  <c r="C41" i="4"/>
  <c r="D41" i="4"/>
  <c r="E41" i="4"/>
  <c r="F41" i="4"/>
  <c r="G41" i="4"/>
  <c r="H41" i="4"/>
  <c r="I41" i="4"/>
  <c r="D37" i="4"/>
  <c r="E37" i="4"/>
  <c r="G37" i="4"/>
  <c r="H37" i="4"/>
  <c r="I37" i="4"/>
  <c r="C36" i="4"/>
  <c r="F36" i="4"/>
  <c r="G36" i="4"/>
  <c r="H36" i="4"/>
  <c r="I36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B41" i="4"/>
  <c r="B36" i="4"/>
  <c r="B34" i="4"/>
  <c r="B33" i="4"/>
  <c r="C29" i="4"/>
  <c r="D29" i="4"/>
  <c r="E29" i="4"/>
  <c r="G29" i="4"/>
  <c r="H29" i="4"/>
  <c r="I29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30" i="4"/>
  <c r="D30" i="4"/>
  <c r="E30" i="4"/>
  <c r="F30" i="4"/>
  <c r="G30" i="4"/>
  <c r="H30" i="4"/>
  <c r="I30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1" i="4"/>
  <c r="D21" i="4"/>
  <c r="E21" i="4"/>
  <c r="F21" i="4"/>
  <c r="G21" i="4"/>
  <c r="H21" i="4"/>
  <c r="I21" i="4"/>
  <c r="B30" i="4"/>
  <c r="B29" i="4"/>
  <c r="B28" i="4"/>
  <c r="B27" i="4"/>
  <c r="B21" i="4"/>
  <c r="C16" i="4"/>
  <c r="D16" i="4"/>
  <c r="E16" i="4"/>
  <c r="F16" i="4"/>
  <c r="G16" i="4"/>
  <c r="H16" i="4"/>
  <c r="I16" i="4"/>
  <c r="C13" i="4"/>
  <c r="D13" i="4"/>
  <c r="E13" i="4"/>
  <c r="F13" i="4"/>
  <c r="G13" i="4"/>
  <c r="H13" i="4"/>
  <c r="I13" i="4"/>
  <c r="C12" i="4"/>
  <c r="D12" i="4"/>
  <c r="E12" i="4"/>
  <c r="F12" i="4"/>
  <c r="G12" i="4"/>
  <c r="H12" i="4"/>
  <c r="I12" i="4"/>
  <c r="B13" i="4"/>
  <c r="C11" i="4"/>
  <c r="D11" i="4"/>
  <c r="E11" i="4"/>
  <c r="F11" i="4"/>
  <c r="G11" i="4"/>
  <c r="H11" i="4"/>
  <c r="I11" i="4"/>
  <c r="B12" i="4"/>
  <c r="B11" i="4"/>
  <c r="C10" i="4"/>
  <c r="D10" i="4"/>
  <c r="E10" i="4"/>
  <c r="F10" i="4"/>
  <c r="G10" i="4"/>
  <c r="H10" i="4"/>
  <c r="I10" i="4"/>
  <c r="C9" i="4"/>
  <c r="D9" i="4"/>
  <c r="E9" i="4"/>
  <c r="F9" i="4"/>
  <c r="G9" i="4"/>
  <c r="H9" i="4"/>
  <c r="I9" i="4"/>
  <c r="C8" i="4"/>
  <c r="D8" i="4"/>
  <c r="E8" i="4"/>
  <c r="F8" i="4"/>
  <c r="G8" i="4"/>
  <c r="H8" i="4"/>
  <c r="I8" i="4"/>
  <c r="C7" i="4"/>
  <c r="D7" i="4"/>
  <c r="E7" i="4"/>
  <c r="F7" i="4"/>
  <c r="G7" i="4"/>
  <c r="H7" i="4"/>
  <c r="I7" i="4"/>
  <c r="C6" i="4"/>
  <c r="D6" i="4"/>
  <c r="E6" i="4"/>
  <c r="F6" i="4"/>
  <c r="G6" i="4"/>
  <c r="H6" i="4"/>
  <c r="I6" i="4"/>
  <c r="C5" i="4"/>
  <c r="D5" i="4"/>
  <c r="E5" i="4"/>
  <c r="F5" i="4"/>
  <c r="G5" i="4"/>
  <c r="H5" i="4"/>
  <c r="I5" i="4"/>
  <c r="B10" i="4"/>
  <c r="B9" i="4"/>
  <c r="B8" i="4"/>
  <c r="B7" i="4"/>
  <c r="B6" i="4"/>
  <c r="B5" i="4"/>
  <c r="C4" i="4"/>
  <c r="D4" i="4"/>
  <c r="E4" i="4"/>
  <c r="F4" i="4"/>
  <c r="G4" i="4"/>
  <c r="H4" i="4"/>
  <c r="I4" i="4"/>
  <c r="B4" i="4"/>
  <c r="D3" i="4"/>
  <c r="E3" i="4"/>
  <c r="F3" i="4"/>
  <c r="G3" i="4"/>
  <c r="H3" i="4"/>
  <c r="I3" i="4"/>
  <c r="C3" i="4"/>
  <c r="B3" i="4"/>
  <c r="B176" i="1"/>
  <c r="G175" i="1"/>
  <c r="G176" i="1" s="1"/>
  <c r="F175" i="1"/>
  <c r="F176" i="1" s="1"/>
  <c r="B175" i="1"/>
  <c r="G172" i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B165" i="1"/>
  <c r="B164" i="1"/>
  <c r="G163" i="1"/>
  <c r="F163" i="1"/>
  <c r="B163" i="1"/>
  <c r="G161" i="1"/>
  <c r="G164" i="1" s="1"/>
  <c r="G165" i="1" s="1"/>
  <c r="F161" i="1"/>
  <c r="F164" i="1" s="1"/>
  <c r="F165" i="1" s="1"/>
  <c r="E161" i="1"/>
  <c r="E163" i="1" s="1"/>
  <c r="D161" i="1"/>
  <c r="D163" i="1" s="1"/>
  <c r="C161" i="1"/>
  <c r="C163" i="1" s="1"/>
  <c r="C164" i="1" s="1"/>
  <c r="C165" i="1" s="1"/>
  <c r="B161" i="1"/>
  <c r="D154" i="1"/>
  <c r="C154" i="1"/>
  <c r="B154" i="1"/>
  <c r="D153" i="1"/>
  <c r="C153" i="1"/>
  <c r="B153" i="1"/>
  <c r="G150" i="1"/>
  <c r="G153" i="1" s="1"/>
  <c r="G154" i="1" s="1"/>
  <c r="F150" i="1"/>
  <c r="F153" i="1" s="1"/>
  <c r="F154" i="1" s="1"/>
  <c r="E150" i="1"/>
  <c r="E153" i="1" s="1"/>
  <c r="E154" i="1" s="1"/>
  <c r="D150" i="1"/>
  <c r="C150" i="1"/>
  <c r="B150" i="1"/>
  <c r="F143" i="1"/>
  <c r="E143" i="1"/>
  <c r="D143" i="1"/>
  <c r="F142" i="1"/>
  <c r="E142" i="1"/>
  <c r="D142" i="1"/>
  <c r="C142" i="1"/>
  <c r="C143" i="1" s="1"/>
  <c r="B142" i="1"/>
  <c r="B143" i="1" s="1"/>
  <c r="G139" i="1"/>
  <c r="G142" i="1" s="1"/>
  <c r="G143" i="1" s="1"/>
  <c r="F139" i="1"/>
  <c r="E139" i="1"/>
  <c r="D139" i="1"/>
  <c r="C139" i="1"/>
  <c r="B139" i="1"/>
  <c r="G132" i="1"/>
  <c r="F132" i="1"/>
  <c r="B132" i="1"/>
  <c r="G131" i="1"/>
  <c r="F131" i="1"/>
  <c r="E131" i="1"/>
  <c r="E132" i="1" s="1"/>
  <c r="D131" i="1"/>
  <c r="D132" i="1" s="1"/>
  <c r="G124" i="1"/>
  <c r="F124" i="1"/>
  <c r="E124" i="1"/>
  <c r="D124" i="1"/>
  <c r="C124" i="1"/>
  <c r="C131" i="1" s="1"/>
  <c r="C132" i="1" s="1"/>
  <c r="B124" i="1"/>
  <c r="B131" i="1" s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F76" i="1"/>
  <c r="F94" i="1" s="1"/>
  <c r="E76" i="1"/>
  <c r="E94" i="1" s="1"/>
  <c r="D76" i="1"/>
  <c r="C76" i="1"/>
  <c r="C94" i="1" s="1"/>
  <c r="B76" i="1"/>
  <c r="G59" i="1"/>
  <c r="G60" i="1" s="1"/>
  <c r="E59" i="1"/>
  <c r="G58" i="1"/>
  <c r="F58" i="1"/>
  <c r="E58" i="1"/>
  <c r="D58" i="1"/>
  <c r="D59" i="1" s="1"/>
  <c r="D60" i="1" s="1"/>
  <c r="C58" i="1"/>
  <c r="C59" i="1" s="1"/>
  <c r="C60" i="1" s="1"/>
  <c r="B58" i="1"/>
  <c r="B59" i="1" s="1"/>
  <c r="B60" i="1" s="1"/>
  <c r="G45" i="1"/>
  <c r="F45" i="1"/>
  <c r="E45" i="1"/>
  <c r="D45" i="1"/>
  <c r="C45" i="1"/>
  <c r="B45" i="1"/>
  <c r="G36" i="1"/>
  <c r="G30" i="1"/>
  <c r="F30" i="1"/>
  <c r="F36" i="1" s="1"/>
  <c r="F60" i="1" s="1"/>
  <c r="E30" i="1"/>
  <c r="E36" i="1" s="1"/>
  <c r="D30" i="1"/>
  <c r="C30" i="1"/>
  <c r="B30" i="1"/>
  <c r="G12" i="1"/>
  <c r="F12" i="1"/>
  <c r="E12" i="1"/>
  <c r="D12" i="1"/>
  <c r="C12" i="1"/>
  <c r="B12" i="1"/>
  <c r="G7" i="1"/>
  <c r="F7" i="1"/>
  <c r="E7" i="1"/>
  <c r="D7" i="1"/>
  <c r="C7" i="1"/>
  <c r="B7" i="1"/>
  <c r="G4" i="1"/>
  <c r="F4" i="1"/>
  <c r="E4" i="1"/>
  <c r="D4" i="1"/>
  <c r="C4" i="1"/>
  <c r="B4" i="1"/>
  <c r="G49" i="3"/>
  <c r="F49" i="3"/>
  <c r="G48" i="3"/>
  <c r="F48" i="3"/>
  <c r="E48" i="3"/>
  <c r="E49" i="3" s="1"/>
  <c r="D48" i="3"/>
  <c r="D49" i="3" s="1"/>
  <c r="C48" i="3"/>
  <c r="C49" i="3" s="1"/>
  <c r="B48" i="3"/>
  <c r="B49" i="3" s="1"/>
  <c r="B47" i="3"/>
  <c r="G45" i="3"/>
  <c r="G46" i="3" s="1"/>
  <c r="F45" i="3"/>
  <c r="F46" i="3" s="1"/>
  <c r="E45" i="3"/>
  <c r="E46" i="3" s="1"/>
  <c r="D45" i="3"/>
  <c r="D46" i="3" s="1"/>
  <c r="C45" i="3"/>
  <c r="C46" i="3" s="1"/>
  <c r="B45" i="3"/>
  <c r="B46" i="3" s="1"/>
  <c r="D44" i="3"/>
  <c r="C43" i="3"/>
  <c r="B43" i="3"/>
  <c r="G42" i="3"/>
  <c r="G43" i="3" s="1"/>
  <c r="F42" i="3"/>
  <c r="F43" i="3" s="1"/>
  <c r="E42" i="3"/>
  <c r="E43" i="3" s="1"/>
  <c r="D42" i="3"/>
  <c r="D43" i="3" s="1"/>
  <c r="C42" i="3"/>
  <c r="B42" i="3"/>
  <c r="G41" i="3"/>
  <c r="F41" i="3"/>
  <c r="C41" i="3"/>
  <c r="B41" i="3"/>
  <c r="E40" i="3"/>
  <c r="D40" i="3"/>
  <c r="C39" i="3"/>
  <c r="B39" i="3"/>
  <c r="G38" i="3"/>
  <c r="G40" i="3" s="1"/>
  <c r="F38" i="3"/>
  <c r="G39" i="3" s="1"/>
  <c r="E38" i="3"/>
  <c r="E41" i="3" s="1"/>
  <c r="D38" i="3"/>
  <c r="D41" i="3" s="1"/>
  <c r="C38" i="3"/>
  <c r="B38" i="3"/>
  <c r="G35" i="3"/>
  <c r="G36" i="3" s="1"/>
  <c r="F35" i="3"/>
  <c r="C35" i="3"/>
  <c r="C36" i="3" s="1"/>
  <c r="B35" i="3"/>
  <c r="B36" i="3" s="1"/>
  <c r="G33" i="3"/>
  <c r="F33" i="3"/>
  <c r="E33" i="3"/>
  <c r="D33" i="3"/>
  <c r="C33" i="3"/>
  <c r="B33" i="3"/>
  <c r="E32" i="3"/>
  <c r="E34" i="3" s="1"/>
  <c r="D32" i="3"/>
  <c r="D34" i="3" s="1"/>
  <c r="G31" i="3"/>
  <c r="G32" i="3" s="1"/>
  <c r="G34" i="3" s="1"/>
  <c r="F31" i="3"/>
  <c r="F32" i="3" s="1"/>
  <c r="F34" i="3" s="1"/>
  <c r="E31" i="3"/>
  <c r="D31" i="3"/>
  <c r="C31" i="3"/>
  <c r="C32" i="3" s="1"/>
  <c r="C34" i="3" s="1"/>
  <c r="B31" i="3"/>
  <c r="B32" i="3" s="1"/>
  <c r="B34" i="3" s="1"/>
  <c r="G29" i="3"/>
  <c r="F29" i="3"/>
  <c r="E29" i="3"/>
  <c r="D29" i="3"/>
  <c r="C29" i="3"/>
  <c r="B29" i="3"/>
  <c r="E28" i="3"/>
  <c r="E30" i="3" s="1"/>
  <c r="D28" i="3"/>
  <c r="D30" i="3" s="1"/>
  <c r="G27" i="3"/>
  <c r="G28" i="3" s="1"/>
  <c r="G30" i="3" s="1"/>
  <c r="F27" i="3"/>
  <c r="F28" i="3" s="1"/>
  <c r="F30" i="3" s="1"/>
  <c r="E27" i="3"/>
  <c r="D27" i="3"/>
  <c r="C27" i="3"/>
  <c r="C28" i="3" s="1"/>
  <c r="C30" i="3" s="1"/>
  <c r="B27" i="3"/>
  <c r="B28" i="3" s="1"/>
  <c r="B30" i="3" s="1"/>
  <c r="G25" i="3"/>
  <c r="F25" i="3"/>
  <c r="E25" i="3"/>
  <c r="D25" i="3"/>
  <c r="C25" i="3"/>
  <c r="B25" i="3"/>
  <c r="E24" i="3"/>
  <c r="E26" i="3" s="1"/>
  <c r="D24" i="3"/>
  <c r="D26" i="3" s="1"/>
  <c r="G23" i="3"/>
  <c r="G24" i="3" s="1"/>
  <c r="G26" i="3" s="1"/>
  <c r="F23" i="3"/>
  <c r="F24" i="3" s="1"/>
  <c r="F26" i="3" s="1"/>
  <c r="E23" i="3"/>
  <c r="D23" i="3"/>
  <c r="C23" i="3"/>
  <c r="C24" i="3" s="1"/>
  <c r="C26" i="3" s="1"/>
  <c r="B23" i="3"/>
  <c r="B24" i="3" s="1"/>
  <c r="B26" i="3" s="1"/>
  <c r="G21" i="3"/>
  <c r="G50" i="3" s="1"/>
  <c r="F21" i="3"/>
  <c r="F22" i="3" s="1"/>
  <c r="E21" i="3"/>
  <c r="E22" i="3" s="1"/>
  <c r="D21" i="3"/>
  <c r="D22" i="3" s="1"/>
  <c r="C21" i="3"/>
  <c r="C44" i="3" s="1"/>
  <c r="B21" i="3"/>
  <c r="B44" i="3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94" i="1" l="1"/>
  <c r="B94" i="1"/>
  <c r="H66" i="4"/>
  <c r="G66" i="4"/>
  <c r="D66" i="4"/>
  <c r="D94" i="1"/>
  <c r="D164" i="1"/>
  <c r="D165" i="1" s="1"/>
  <c r="E164" i="1"/>
  <c r="E165" i="1" s="1"/>
  <c r="E60" i="1"/>
  <c r="E44" i="3"/>
  <c r="C47" i="3"/>
  <c r="B22" i="3"/>
  <c r="D35" i="3"/>
  <c r="D39" i="3"/>
  <c r="F40" i="3"/>
  <c r="F44" i="3"/>
  <c r="D47" i="3"/>
  <c r="B50" i="3"/>
  <c r="G37" i="3"/>
  <c r="C22" i="3"/>
  <c r="E35" i="3"/>
  <c r="E39" i="3"/>
  <c r="G44" i="3"/>
  <c r="E47" i="3"/>
  <c r="C50" i="3"/>
  <c r="F37" i="3"/>
  <c r="B37" i="3"/>
  <c r="F39" i="3"/>
  <c r="F47" i="3"/>
  <c r="D50" i="3"/>
  <c r="C37" i="3"/>
  <c r="G47" i="3"/>
  <c r="E50" i="3"/>
  <c r="B40" i="3"/>
  <c r="F50" i="3"/>
  <c r="G22" i="3"/>
  <c r="C40" i="3"/>
  <c r="I48" i="3"/>
  <c r="H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E37" i="3" l="1"/>
  <c r="E36" i="3"/>
  <c r="D37" i="3"/>
  <c r="D36" i="3"/>
  <c r="F36" i="3"/>
  <c r="N24" i="3"/>
  <c r="H49" i="3"/>
  <c r="I49" i="3"/>
  <c r="L24" i="3"/>
  <c r="M24" i="3"/>
  <c r="K24" i="3"/>
  <c r="K33" i="3"/>
  <c r="K29" i="3"/>
  <c r="A20" i="3"/>
  <c r="H45" i="3"/>
  <c r="I45" i="3"/>
  <c r="I38" i="3"/>
  <c r="I41" i="3" s="1"/>
  <c r="J41" i="3" s="1"/>
  <c r="K41" i="3" s="1"/>
  <c r="H38" i="3"/>
  <c r="H41" i="3" s="1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H24" i="3"/>
  <c r="H26" i="3" s="1"/>
  <c r="H35" i="3"/>
  <c r="H46" i="3"/>
  <c r="I35" i="3"/>
  <c r="I36" i="3" s="1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H163" i="1"/>
  <c r="H164" i="1" s="1"/>
  <c r="H165" i="1" s="1"/>
  <c r="I163" i="1"/>
  <c r="I161" i="1"/>
  <c r="I164" i="1" s="1"/>
  <c r="I165" i="1" s="1"/>
  <c r="H161" i="1"/>
  <c r="H125" i="1"/>
  <c r="I125" i="1"/>
  <c r="I150" i="1"/>
  <c r="I153" i="1" s="1"/>
  <c r="I154" i="1" s="1"/>
  <c r="H150" i="1"/>
  <c r="H153" i="1" s="1"/>
  <c r="H154" i="1" s="1"/>
  <c r="M41" i="3" l="1"/>
  <c r="H36" i="3"/>
  <c r="L32" i="3"/>
  <c r="M33" i="3"/>
  <c r="L31" i="3"/>
  <c r="L28" i="3"/>
  <c r="L27" i="3" s="1"/>
  <c r="M29" i="3"/>
  <c r="K21" i="3"/>
  <c r="I119" i="1"/>
  <c r="H119" i="1"/>
  <c r="I115" i="1"/>
  <c r="H115" i="1"/>
  <c r="I111" i="1"/>
  <c r="H111" i="1"/>
  <c r="H107" i="1"/>
  <c r="H21" i="3" s="1"/>
  <c r="H37" i="3" s="1"/>
  <c r="I107" i="1"/>
  <c r="I21" i="3" s="1"/>
  <c r="I50" i="3" s="1"/>
  <c r="J50" i="3" s="1"/>
  <c r="I139" i="1"/>
  <c r="I142" i="1" s="1"/>
  <c r="H139" i="1"/>
  <c r="H142" i="1" s="1"/>
  <c r="N41" i="3" l="1"/>
  <c r="J49" i="3"/>
  <c r="K50" i="3"/>
  <c r="J48" i="3"/>
  <c r="J38" i="3" s="1"/>
  <c r="H50" i="3"/>
  <c r="H44" i="3"/>
  <c r="H40" i="3"/>
  <c r="H47" i="3"/>
  <c r="H22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I124" i="1"/>
  <c r="L50" i="3" l="1"/>
  <c r="K49" i="3"/>
  <c r="L48" i="3"/>
  <c r="L38" i="3" s="1"/>
  <c r="K48" i="3"/>
  <c r="K38" i="3" s="1"/>
  <c r="K47" i="3"/>
  <c r="J45" i="3"/>
  <c r="J46" i="3" s="1"/>
  <c r="J42" i="3"/>
  <c r="K37" i="3"/>
  <c r="J35" i="3"/>
  <c r="J36" i="3" s="1"/>
  <c r="L22" i="3"/>
  <c r="N27" i="3"/>
  <c r="N21" i="3" s="1"/>
  <c r="M21" i="3"/>
  <c r="I131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L47" i="3" l="1"/>
  <c r="K45" i="3"/>
  <c r="K46" i="3" s="1"/>
  <c r="J44" i="3"/>
  <c r="J43" i="3"/>
  <c r="L49" i="3"/>
  <c r="M50" i="3"/>
  <c r="M48" i="3" s="1"/>
  <c r="M38" i="3" s="1"/>
  <c r="L37" i="3"/>
  <c r="K35" i="3"/>
  <c r="K36" i="3" s="1"/>
  <c r="M22" i="3"/>
  <c r="N22" i="3"/>
  <c r="H12" i="1"/>
  <c r="H20" i="1" s="1"/>
  <c r="H143" i="1"/>
  <c r="I12" i="1"/>
  <c r="I20" i="1" s="1"/>
  <c r="I143" i="1"/>
  <c r="H64" i="1"/>
  <c r="H76" i="1" s="1"/>
  <c r="H94" i="1" s="1"/>
  <c r="H96" i="1" s="1"/>
  <c r="I59" i="1"/>
  <c r="I60" i="1" s="1"/>
  <c r="H60" i="1"/>
  <c r="M47" i="3" l="1"/>
  <c r="L45" i="3"/>
  <c r="L46" i="3" s="1"/>
  <c r="K42" i="3"/>
  <c r="M49" i="3"/>
  <c r="N50" i="3"/>
  <c r="M37" i="3"/>
  <c r="L35" i="3"/>
  <c r="I64" i="1"/>
  <c r="I76" i="1" s="1"/>
  <c r="I94" i="1" s="1"/>
  <c r="I95" i="1"/>
  <c r="I96" i="1" s="1"/>
  <c r="I97" i="1" s="1"/>
  <c r="H97" i="1"/>
  <c r="K43" i="3" l="1"/>
  <c r="K44" i="3"/>
  <c r="N49" i="3"/>
  <c r="N48" i="3"/>
  <c r="N38" i="3" s="1"/>
  <c r="N42" i="3" s="1"/>
  <c r="N47" i="3"/>
  <c r="M45" i="3"/>
  <c r="M46" i="3" s="1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5" i="3"/>
  <c r="N46" i="3" s="1"/>
  <c r="N44" i="3"/>
  <c r="M36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<sst xmlns="http://schemas.openxmlformats.org/spreadsheetml/2006/main" count="342" uniqueCount="203">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</sst>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2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0" fillId="0" borderId="0" xfId="0" applyNumberFormat="1"/>
    <xf numFmtId="165" fontId="0" fillId="0" borderId="0" xfId="3" applyNumberFormat="1" applyFont="1"/>
    <xf numFmtId="165" fontId="2" fillId="0" borderId="0" xfId="3" applyNumberFormat="1" applyFont="1"/>
    <xf numFmtId="3" fontId="2" fillId="0" borderId="0" xfId="0" applyNumberFormat="1" applyFont="1"/>
    <xf numFmtId="3" fontId="2" fillId="0" borderId="5" xfId="0" applyNumberFormat="1" applyFont="1" applyBorder="1"/>
    <xf numFmtId="0" fontId="18" fillId="0" borderId="0" xfId="0" applyFont="1" applyFill="1"/>
    <xf numFmtId="165" fontId="19" fillId="0" borderId="0" xfId="1" applyNumberFormat="1" applyFont="1" applyFill="1" applyAlignment="1">
      <alignment horizontal="left"/>
    </xf>
    <xf numFmtId="0" fontId="0" fillId="0" borderId="0" xfId="0" applyFill="1"/>
    <xf numFmtId="0" fontId="2" fillId="0" borderId="4" xfId="0" applyFont="1" applyFill="1" applyBorder="1"/>
    <xf numFmtId="164" fontId="5" fillId="0" borderId="0" xfId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oor\Downloads\$FRANK-WISDOM%201710155371_Task%209%20-%20Building%20Operational%20Forecast%20Model(1).xlsx" TargetMode="External"/><Relationship Id="rId1" Type="http://schemas.openxmlformats.org/officeDocument/2006/relationships/externalLinkPath" Target="$FRANK-WISDOM%201710155371_Task%209%20-%20Building%20Operational%20Forecast%20Model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</row>
        <row r="180">
          <cell r="B180">
            <v>0.08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</row>
        <row r="182">
          <cell r="B182">
            <v>-0.13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-0.08</v>
          </cell>
        </row>
        <row r="184">
          <cell r="B184">
            <v>0.12</v>
          </cell>
          <cell r="C184">
            <v>0.16</v>
          </cell>
          <cell r="D184">
            <v>0.06</v>
          </cell>
          <cell r="E184">
            <v>0.09</v>
          </cell>
          <cell r="F184">
            <v>7.0000000000000007E-2</v>
          </cell>
          <cell r="G184">
            <v>-0.06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35" workbookViewId="0">
      <selection activeCell="A2" sqref="A2:A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/>
    </row>
    <row r="2" spans="1:1" x14ac:dyDescent="0.3">
      <c r="A2" s="38" t="s">
        <v>200</v>
      </c>
    </row>
    <row r="3" spans="1:1" x14ac:dyDescent="0.3">
      <c r="A3" s="38" t="s">
        <v>199</v>
      </c>
    </row>
    <row r="4" spans="1:1" x14ac:dyDescent="0.3">
      <c r="A4" s="19" t="s">
        <v>201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28" workbookViewId="0">
      <pane ySplit="1" topLeftCell="A77" activePane="bottomLeft" state="frozen"/>
      <selection pane="bottomLeft" activeCell="H86" sqref="H86"/>
    </sheetView>
  </sheetViews>
  <sheetFormatPr defaultRowHeight="14.4" x14ac:dyDescent="0.3"/>
  <cols>
    <col min="1" max="1" width="116.2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26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">
      <c r="A3" s="23" t="s">
        <v>27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B4:H4" si="2">+H2-H3</f>
        <v>19962</v>
      </c>
      <c r="I4" s="9">
        <f>+I2-I3</f>
        <v>21479</v>
      </c>
    </row>
    <row r="5" spans="1:9" x14ac:dyDescent="0.3">
      <c r="A5" s="11" t="s">
        <v>20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">
      <c r="A7" s="22" t="s">
        <v>22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3">
      <c r="A8" s="2" t="s">
        <v>23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v>6689</v>
      </c>
      <c r="C10" s="5">
        <v>7178</v>
      </c>
      <c r="D10" s="5">
        <v>7250</v>
      </c>
      <c r="E10" s="5">
        <v>7383</v>
      </c>
      <c r="F10" s="5">
        <v>8207</v>
      </c>
      <c r="G10" s="5">
        <v>6392</v>
      </c>
      <c r="H10" s="5">
        <f t="shared" ref="B10:H10" si="5">+H4-H7-H8-H9</f>
        <v>6661</v>
      </c>
      <c r="I10" s="5">
        <f>+I4-I7-I8-I9</f>
        <v>6651</v>
      </c>
    </row>
    <row r="11" spans="1:9" x14ac:dyDescent="0.3">
      <c r="A11" s="2" t="s">
        <v>25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 t="shared" ref="B12:G12" si="6">+B10-B11</f>
        <v>5757</v>
      </c>
      <c r="C12" s="7">
        <f>+C10-C11</f>
        <v>6315</v>
      </c>
      <c r="D12" s="7">
        <f t="shared" si="6"/>
        <v>6604</v>
      </c>
      <c r="E12" s="7">
        <f t="shared" si="6"/>
        <v>4991</v>
      </c>
      <c r="F12" s="7">
        <f t="shared" si="6"/>
        <v>7435</v>
      </c>
      <c r="G12" s="7">
        <f t="shared" si="6"/>
        <v>6044</v>
      </c>
      <c r="H12" s="7">
        <f t="shared" ref="B12:H12" si="7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C17" s="65">
        <v>1697.9</v>
      </c>
      <c r="D17" s="65">
        <v>1657.8</v>
      </c>
      <c r="E17" s="65">
        <v>1623.8</v>
      </c>
      <c r="F17" s="65">
        <v>1579.7</v>
      </c>
      <c r="G17" s="65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C18" s="65">
        <v>1742.5</v>
      </c>
      <c r="D18" s="65">
        <v>1692</v>
      </c>
      <c r="E18" s="65">
        <v>1659.1</v>
      </c>
      <c r="F18" s="65">
        <v>1618.4</v>
      </c>
      <c r="G18" s="65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ref="B20:H20" si="8">+ROUND(((H12/H18)-H15),2)</f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35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9">+SUM(B25:B29)</f>
        <v>15587</v>
      </c>
      <c r="C30" s="5">
        <f t="shared" si="9"/>
        <v>15025</v>
      </c>
      <c r="D30" s="5">
        <f t="shared" si="9"/>
        <v>16061</v>
      </c>
      <c r="E30" s="5">
        <f t="shared" si="9"/>
        <v>15134</v>
      </c>
      <c r="F30" s="5">
        <f t="shared" si="9"/>
        <v>16525</v>
      </c>
      <c r="G30" s="5">
        <f t="shared" si="9"/>
        <v>20556</v>
      </c>
      <c r="H30" s="5">
        <f t="shared" ref="B30:H30" si="10">+SUM(H25:H29)</f>
        <v>26291</v>
      </c>
      <c r="I30" s="5">
        <f>+SUM(I25:I29)</f>
        <v>28213</v>
      </c>
    </row>
    <row r="31" spans="1:9" x14ac:dyDescent="0.3">
      <c r="A31" s="2" t="s">
        <v>36</v>
      </c>
      <c r="B31" s="8">
        <v>2996</v>
      </c>
      <c r="C31" s="8">
        <v>3451</v>
      </c>
      <c r="D31" s="8">
        <v>3975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37</v>
      </c>
      <c r="F32" t="s">
        <v>202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38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">
      <c r="A34" s="2" t="s">
        <v>39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">
      <c r="A35" s="2" t="s">
        <v>40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35">
      <c r="A36" s="6" t="s">
        <v>41</v>
      </c>
      <c r="B36" s="7">
        <v>21597</v>
      </c>
      <c r="C36" s="7">
        <v>21396</v>
      </c>
      <c r="D36" s="7">
        <v>23259</v>
      </c>
      <c r="E36" s="7">
        <f t="shared" ref="E36:G36" si="11">+SUM(E30:E35)</f>
        <v>22536</v>
      </c>
      <c r="F36" s="7">
        <f t="shared" si="11"/>
        <v>23717</v>
      </c>
      <c r="G36" s="7">
        <f t="shared" si="11"/>
        <v>31342</v>
      </c>
      <c r="H36" s="7">
        <f t="shared" ref="B36:H36" si="12">+SUM(H30:H35)</f>
        <v>37740</v>
      </c>
      <c r="I36" s="7">
        <f>+SUM(I30:I35)</f>
        <v>40321</v>
      </c>
    </row>
    <row r="37" spans="1:9" ht="15" thickTop="1" x14ac:dyDescent="0.3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10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44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">
      <c r="A40" s="11" t="s">
        <v>45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">
      <c r="A42" s="11" t="s">
        <v>46</v>
      </c>
      <c r="B42" s="66"/>
      <c r="C42" s="66"/>
      <c r="D42" s="66"/>
      <c r="E42" s="66"/>
      <c r="F42" t="s">
        <v>202</v>
      </c>
      <c r="G42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">
      <c r="A44" s="11" t="s">
        <v>47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3">+SUM(B39:B44)</f>
        <v>6332</v>
      </c>
      <c r="C45" s="5">
        <f t="shared" si="13"/>
        <v>5358</v>
      </c>
      <c r="D45" s="5">
        <f t="shared" si="13"/>
        <v>5474</v>
      </c>
      <c r="E45" s="5">
        <f t="shared" si="13"/>
        <v>6040</v>
      </c>
      <c r="F45" s="5">
        <f t="shared" si="13"/>
        <v>7866</v>
      </c>
      <c r="G45" s="5">
        <f t="shared" si="13"/>
        <v>8284</v>
      </c>
      <c r="H45" s="5">
        <f t="shared" ref="B45:H45" si="14">+SUM(H39:H44)</f>
        <v>9674</v>
      </c>
      <c r="I45" s="5">
        <f>+SUM(I39:I44)</f>
        <v>10730</v>
      </c>
    </row>
    <row r="46" spans="1:9" x14ac:dyDescent="0.3">
      <c r="A46" s="2" t="s">
        <v>48</v>
      </c>
      <c r="B46" s="8">
        <v>1079</v>
      </c>
      <c r="C46" s="8">
        <v>2010</v>
      </c>
      <c r="D46" t="s">
        <v>202</v>
      </c>
      <c r="E46" t="s">
        <v>202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">
      <c r="A47" s="2" t="s">
        <v>49</v>
      </c>
      <c r="B47" t="s">
        <v>202</v>
      </c>
      <c r="C47" t="s">
        <v>202</v>
      </c>
      <c r="D47" s="8">
        <v>3471</v>
      </c>
      <c r="E47" s="8">
        <v>3468</v>
      </c>
      <c r="F47" t="s">
        <v>202</v>
      </c>
      <c r="G47" s="8">
        <v>2913</v>
      </c>
      <c r="H47" s="3">
        <v>2931</v>
      </c>
      <c r="I47" s="3">
        <v>2777</v>
      </c>
    </row>
    <row r="48" spans="1:9" x14ac:dyDescent="0.3">
      <c r="A48" s="2" t="s">
        <v>50</v>
      </c>
      <c r="B48" s="8">
        <v>1479</v>
      </c>
      <c r="C48" s="8">
        <v>1770</v>
      </c>
      <c r="D48" s="8">
        <v>1907</v>
      </c>
      <c r="E48" s="8">
        <v>3216</v>
      </c>
      <c r="F48" s="8">
        <v>0</v>
      </c>
      <c r="G48" s="8">
        <v>2684</v>
      </c>
      <c r="H48" s="3">
        <v>2955</v>
      </c>
      <c r="I48" s="3">
        <v>2613</v>
      </c>
    </row>
    <row r="49" spans="1:9" x14ac:dyDescent="0.3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52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10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">
      <c r="A55" s="17" t="s">
        <v>57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">
      <c r="A56" s="17" t="s">
        <v>58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">
      <c r="A57" s="17" t="s">
        <v>59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">
      <c r="A58" s="4" t="s">
        <v>60</v>
      </c>
      <c r="B58" s="5">
        <f t="shared" ref="B58:G58" si="15">+SUM(B53:B57)</f>
        <v>12707</v>
      </c>
      <c r="C58" s="5">
        <f t="shared" si="15"/>
        <v>12258</v>
      </c>
      <c r="D58" s="5">
        <f t="shared" si="15"/>
        <v>12407</v>
      </c>
      <c r="E58" s="5">
        <f t="shared" si="15"/>
        <v>9812</v>
      </c>
      <c r="F58" s="5">
        <f t="shared" si="15"/>
        <v>9040</v>
      </c>
      <c r="G58" s="5">
        <f t="shared" si="15"/>
        <v>8055</v>
      </c>
      <c r="H58" s="5">
        <f t="shared" ref="B58:H58" si="16">+SUM(H53:H57)</f>
        <v>12767</v>
      </c>
      <c r="I58" s="5">
        <f>+SUM(I53:I57)</f>
        <v>15281</v>
      </c>
    </row>
    <row r="59" spans="1:9" ht="15" thickBot="1" x14ac:dyDescent="0.35">
      <c r="A59" s="6" t="s">
        <v>61</v>
      </c>
      <c r="B59" s="7">
        <f t="shared" ref="B59:G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v>23717</v>
      </c>
      <c r="G59" s="7">
        <f t="shared" si="17"/>
        <v>31342</v>
      </c>
      <c r="H59" s="7">
        <f t="shared" ref="B59:H59" si="18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G60" si="19">+B59-B36</f>
        <v>0</v>
      </c>
      <c r="C60" s="13">
        <f t="shared" si="19"/>
        <v>0</v>
      </c>
      <c r="D60" s="13">
        <f t="shared" si="19"/>
        <v>0</v>
      </c>
      <c r="E60" s="13">
        <f t="shared" si="19"/>
        <v>0</v>
      </c>
      <c r="F60" s="13">
        <f>+F59-F36</f>
        <v>0</v>
      </c>
      <c r="G60" s="13">
        <f t="shared" si="19"/>
        <v>0</v>
      </c>
      <c r="H60" s="13">
        <f t="shared" ref="B60:H60" si="20">+H59-H36</f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62</v>
      </c>
    </row>
    <row r="64" spans="1:9" s="1" customFormat="1" x14ac:dyDescent="0.3">
      <c r="A64" s="10" t="s">
        <v>63</v>
      </c>
      <c r="B64" s="67"/>
      <c r="C64" s="68">
        <v>3760</v>
      </c>
      <c r="D64" s="68">
        <v>4240</v>
      </c>
      <c r="E64" s="68">
        <v>1933</v>
      </c>
      <c r="F64" s="68">
        <v>4029</v>
      </c>
      <c r="G64" s="68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10" t="s">
        <v>64</v>
      </c>
      <c r="B65" s="66"/>
      <c r="C65" s="66"/>
      <c r="D65" s="66"/>
      <c r="E65" s="66"/>
      <c r="F65" s="66"/>
      <c r="G65" s="66"/>
      <c r="H65" s="3"/>
      <c r="I65" s="3"/>
    </row>
    <row r="66" spans="1:9" x14ac:dyDescent="0.3">
      <c r="A66" s="11" t="s">
        <v>65</v>
      </c>
      <c r="B66">
        <v>572</v>
      </c>
      <c r="C66">
        <v>632</v>
      </c>
      <c r="D66">
        <v>675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">
      <c r="A67" s="11" t="s">
        <v>66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">
      <c r="A68" s="11" t="s">
        <v>67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">
      <c r="A69" s="11" t="s">
        <v>68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">
      <c r="A70" s="11" t="s">
        <v>69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">
      <c r="A71" s="10" t="s">
        <v>70</v>
      </c>
      <c r="B71" s="66"/>
      <c r="C71" s="66"/>
      <c r="D71" s="66"/>
      <c r="E71" s="66"/>
      <c r="F71" s="66"/>
      <c r="G71" s="66"/>
      <c r="H71" s="3"/>
      <c r="I71" s="3"/>
    </row>
    <row r="72" spans="1:9" x14ac:dyDescent="0.3">
      <c r="A72" s="11" t="s">
        <v>71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">
      <c r="A73" s="11" t="s">
        <v>72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">
      <c r="A76" s="25" t="s">
        <v>73</v>
      </c>
      <c r="B76" s="26">
        <f t="shared" ref="B76:G76" si="21">+SUM(B64:B75)</f>
        <v>1373</v>
      </c>
      <c r="C76" s="26">
        <f t="shared" si="21"/>
        <v>3382</v>
      </c>
      <c r="D76" s="26">
        <f t="shared" si="21"/>
        <v>3815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B76:H76" si="22">+SUM(H64:H75)</f>
        <v>6657</v>
      </c>
      <c r="I76" s="26">
        <f>+SUM(I64:I75)</f>
        <v>5188</v>
      </c>
    </row>
    <row r="77" spans="1:9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75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">
      <c r="A79" s="2" t="s">
        <v>76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">
      <c r="A80" s="2" t="s">
        <v>77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3">
        <v>-695</v>
      </c>
      <c r="I81" s="3">
        <v>-758</v>
      </c>
    </row>
    <row r="82" spans="1:9" x14ac:dyDescent="0.3">
      <c r="A82" s="2" t="s">
        <v>78</v>
      </c>
      <c r="B82">
        <v>0</v>
      </c>
      <c r="C82">
        <v>6</v>
      </c>
      <c r="D82">
        <v>-34</v>
      </c>
      <c r="E82">
        <v>-22</v>
      </c>
      <c r="F82">
        <v>5</v>
      </c>
      <c r="G82">
        <v>31</v>
      </c>
      <c r="H82" s="3">
        <v>171</v>
      </c>
      <c r="I82" s="3">
        <v>-19</v>
      </c>
    </row>
    <row r="83" spans="1:9" x14ac:dyDescent="0.3">
      <c r="A83" s="27" t="s">
        <v>79</v>
      </c>
      <c r="B83" s="26">
        <f t="shared" ref="B83:G83" si="23">+SUM(B78:B82)</f>
        <v>-28</v>
      </c>
      <c r="C83" s="26">
        <f t="shared" si="23"/>
        <v>-1194</v>
      </c>
      <c r="D83" s="26">
        <f t="shared" si="23"/>
        <v>-1021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B83:H83" si="24">+SUM(H78:H82)</f>
        <v>-3800</v>
      </c>
      <c r="I83" s="26">
        <f>+SUM(I78:I82)</f>
        <v>-1524</v>
      </c>
    </row>
    <row r="84" spans="1:9" x14ac:dyDescent="0.3">
      <c r="A84" s="1" t="s">
        <v>80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81</v>
      </c>
      <c r="B85">
        <v>0</v>
      </c>
      <c r="C85">
        <v>981</v>
      </c>
      <c r="D85" s="8">
        <v>1482</v>
      </c>
      <c r="E85">
        <v>0</v>
      </c>
      <c r="F85">
        <v>0</v>
      </c>
      <c r="G85">
        <v>0</v>
      </c>
      <c r="H85" s="3">
        <v>0</v>
      </c>
      <c r="I85" s="3">
        <v>0</v>
      </c>
    </row>
    <row r="86" spans="1:9" x14ac:dyDescent="0.3">
      <c r="A86" s="2" t="s">
        <v>82</v>
      </c>
      <c r="B86">
        <v>-63</v>
      </c>
      <c r="C86">
        <v>-67</v>
      </c>
      <c r="D86">
        <v>327</v>
      </c>
      <c r="E86">
        <v>13</v>
      </c>
      <c r="F86" t="s">
        <v>202</v>
      </c>
      <c r="G86" s="8">
        <v>6134</v>
      </c>
      <c r="H86" s="3">
        <v>-52</v>
      </c>
      <c r="I86" s="3">
        <v>15</v>
      </c>
    </row>
    <row r="87" spans="1:9" x14ac:dyDescent="0.3">
      <c r="A87" s="2" t="s">
        <v>83</v>
      </c>
      <c r="B87">
        <v>-19</v>
      </c>
      <c r="C87" t="s">
        <v>202</v>
      </c>
      <c r="D87" t="s">
        <v>202</v>
      </c>
      <c r="E87">
        <v>13</v>
      </c>
      <c r="F87">
        <v>-325</v>
      </c>
      <c r="G87">
        <v>49</v>
      </c>
      <c r="H87" s="3">
        <v>-197</v>
      </c>
      <c r="I87" s="3">
        <v>0</v>
      </c>
    </row>
    <row r="88" spans="1:9" x14ac:dyDescent="0.3">
      <c r="A88" s="2" t="s">
        <v>84</v>
      </c>
      <c r="B88">
        <v>514</v>
      </c>
      <c r="C88">
        <v>507</v>
      </c>
      <c r="D88">
        <v>0</v>
      </c>
      <c r="E88">
        <v>733</v>
      </c>
      <c r="F88">
        <v>700</v>
      </c>
      <c r="G88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3">
        <v>-608</v>
      </c>
      <c r="I89" s="3">
        <v>-4014</v>
      </c>
    </row>
    <row r="90" spans="1:9" x14ac:dyDescent="0.3">
      <c r="A90" s="2" t="s">
        <v>85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3">
        <v>-1638</v>
      </c>
      <c r="I90" s="3">
        <v>-1837</v>
      </c>
    </row>
    <row r="91" spans="1:9" x14ac:dyDescent="0.3">
      <c r="A91" s="2" t="s">
        <v>86</v>
      </c>
      <c r="B91" s="66"/>
      <c r="C91" s="66"/>
      <c r="D91" s="66"/>
      <c r="E91">
        <v>-84</v>
      </c>
      <c r="F91">
        <v>-50</v>
      </c>
      <c r="G91">
        <v>-58</v>
      </c>
      <c r="H91" s="3">
        <v>-136</v>
      </c>
      <c r="I91" s="3">
        <v>-151</v>
      </c>
    </row>
    <row r="92" spans="1:9" x14ac:dyDescent="0.3">
      <c r="A92" s="27" t="s">
        <v>87</v>
      </c>
      <c r="B92" s="26">
        <f t="shared" ref="B92:G92" si="25">+SUM(B85:B91)</f>
        <v>-3001</v>
      </c>
      <c r="C92" s="26">
        <f t="shared" si="25"/>
        <v>-2839</v>
      </c>
      <c r="D92" s="26">
        <f t="shared" si="25"/>
        <v>-2547</v>
      </c>
      <c r="E92" s="26">
        <f t="shared" si="25"/>
        <v>-4822</v>
      </c>
      <c r="F92" s="26">
        <f t="shared" si="25"/>
        <v>-5293</v>
      </c>
      <c r="G92" s="26">
        <f t="shared" si="25"/>
        <v>2491</v>
      </c>
      <c r="H92" s="26">
        <f t="shared" ref="B92:H92" si="26">+SUM(H85:H91)</f>
        <v>-1459</v>
      </c>
      <c r="I92" s="26">
        <f>+SUM(I85:I91)</f>
        <v>-4836</v>
      </c>
    </row>
    <row r="93" spans="1:9" x14ac:dyDescent="0.3">
      <c r="A93" s="2" t="s">
        <v>88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3">
        <v>143</v>
      </c>
      <c r="I93" s="3">
        <v>-143</v>
      </c>
    </row>
    <row r="94" spans="1:9" x14ac:dyDescent="0.3">
      <c r="A94" s="27" t="s">
        <v>89</v>
      </c>
      <c r="B94" s="26">
        <f t="shared" ref="B94:G94" si="27">+B76+B83+B92+B93</f>
        <v>-1739</v>
      </c>
      <c r="C94" s="26">
        <f t="shared" si="27"/>
        <v>-756</v>
      </c>
      <c r="D94" s="26">
        <f t="shared" si="27"/>
        <v>227</v>
      </c>
      <c r="E94" s="26">
        <f t="shared" si="27"/>
        <v>454</v>
      </c>
      <c r="F94" s="26">
        <f t="shared" si="27"/>
        <v>217</v>
      </c>
      <c r="G94" s="26">
        <f t="shared" si="27"/>
        <v>3882</v>
      </c>
      <c r="H94" s="26">
        <f t="shared" ref="B94:H94" si="28">+H76+H83+H92+H93</f>
        <v>1541</v>
      </c>
      <c r="I94" s="26">
        <f>+I76+I83+I92+I93</f>
        <v>-1315</v>
      </c>
    </row>
    <row r="95" spans="1:9" x14ac:dyDescent="0.3">
      <c r="A95" t="s">
        <v>90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91</v>
      </c>
      <c r="B96" s="69">
        <v>3852</v>
      </c>
      <c r="C96" s="69">
        <v>3138</v>
      </c>
      <c r="D96" s="69">
        <v>3808</v>
      </c>
      <c r="E96" s="69">
        <v>4249</v>
      </c>
      <c r="F96" s="69">
        <v>4466</v>
      </c>
      <c r="G96" s="69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3">
      <c r="A98" s="1" t="s">
        <v>92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93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3">
      <c r="A102" s="11" t="s">
        <v>94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3">
      <c r="A103" s="11" t="s">
        <v>95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3">
      <c r="A105" s="14" t="s">
        <v>98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108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99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B107:H107" si="30">+SUM(H108:H110)</f>
        <v>17179</v>
      </c>
      <c r="I107" s="3">
        <f>+SUM(I108:I110)</f>
        <v>18353</v>
      </c>
    </row>
    <row r="108" spans="1:9" x14ac:dyDescent="0.3">
      <c r="A108" s="11" t="s">
        <v>112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113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114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100</v>
      </c>
      <c r="B111" s="3">
        <v>7126</v>
      </c>
      <c r="C111" s="3">
        <v>7568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3">
      <c r="A112" s="11" t="s">
        <v>112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113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114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101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3">
      <c r="A116" s="11" t="s">
        <v>112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113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114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105</v>
      </c>
      <c r="B119" s="3">
        <v>4653</v>
      </c>
      <c r="C119" s="3">
        <v>4317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3">
      <c r="A120" s="11" t="s">
        <v>112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113</v>
      </c>
      <c r="B121">
        <v>1250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114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106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102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B124:I124" si="35">+H107+H111+H115+H119+H123</f>
        <v>42293</v>
      </c>
      <c r="I124" s="5">
        <f t="shared" si="35"/>
        <v>44436</v>
      </c>
    </row>
    <row r="125" spans="1:9" x14ac:dyDescent="0.3">
      <c r="A125" s="2" t="s">
        <v>103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112</v>
      </c>
      <c r="B126" s="3">
        <v>18318</v>
      </c>
      <c r="C126" s="3">
        <v>19871</v>
      </c>
      <c r="D126" s="3">
        <v>21081</v>
      </c>
      <c r="E126" s="3">
        <v>22268</v>
      </c>
      <c r="F126" s="3">
        <v>24222</v>
      </c>
      <c r="G126" s="3">
        <v>23305</v>
      </c>
      <c r="H126" s="3">
        <v>1986</v>
      </c>
      <c r="I126" s="3">
        <v>2094</v>
      </c>
    </row>
    <row r="127" spans="1:9" x14ac:dyDescent="0.3">
      <c r="A127" s="11" t="s">
        <v>113</v>
      </c>
      <c r="B127" s="3">
        <v>8636</v>
      </c>
      <c r="C127" s="3">
        <v>9067</v>
      </c>
      <c r="D127" s="3">
        <v>9654</v>
      </c>
      <c r="E127" s="3">
        <v>10733</v>
      </c>
      <c r="F127" s="3">
        <v>11550</v>
      </c>
      <c r="G127" s="3">
        <v>10953</v>
      </c>
      <c r="H127" s="3">
        <v>104</v>
      </c>
      <c r="I127" s="3">
        <v>103</v>
      </c>
    </row>
    <row r="128" spans="1:9" x14ac:dyDescent="0.3">
      <c r="A128" s="11" t="s">
        <v>114</v>
      </c>
      <c r="B128" s="3">
        <v>1632</v>
      </c>
      <c r="C128" s="3">
        <v>1496</v>
      </c>
      <c r="D128" s="3">
        <v>1425</v>
      </c>
      <c r="E128" s="3">
        <v>1396</v>
      </c>
      <c r="F128" s="3">
        <v>1404</v>
      </c>
      <c r="G128" s="3">
        <v>1280</v>
      </c>
      <c r="H128" s="3">
        <v>29</v>
      </c>
      <c r="I128" s="3">
        <v>26</v>
      </c>
    </row>
    <row r="129" spans="1:9" x14ac:dyDescent="0.3">
      <c r="A129" s="11" t="s">
        <v>120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86</v>
      </c>
      <c r="I129" s="3">
        <v>123</v>
      </c>
    </row>
    <row r="130" spans="1:9" x14ac:dyDescent="0.3">
      <c r="A130" s="2" t="s">
        <v>107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104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B131:H131" si="37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110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3">
      <c r="A133" s="1" t="s">
        <v>109</v>
      </c>
    </row>
    <row r="134" spans="1:9" x14ac:dyDescent="0.3">
      <c r="A134" s="2" t="s">
        <v>99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">
      <c r="A135" s="2" t="s">
        <v>100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">
      <c r="A136" s="2" t="s">
        <v>101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">
      <c r="A137" s="2" t="s">
        <v>105</v>
      </c>
      <c r="B137" s="66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">
      <c r="A138" s="2" t="s">
        <v>106</v>
      </c>
      <c r="B138" s="66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3">
      <c r="A139" s="4" t="s">
        <v>102</v>
      </c>
      <c r="B139" s="5">
        <f t="shared" ref="B139:G139" si="39">+SUM(B134:B138)</f>
        <v>4817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B139:I139" si="40">+SUM(H134:H138)</f>
        <v>8641</v>
      </c>
      <c r="I139" s="5">
        <f t="shared" si="40"/>
        <v>8406</v>
      </c>
    </row>
    <row r="140" spans="1:9" x14ac:dyDescent="0.3">
      <c r="A140" s="2" t="s">
        <v>103</v>
      </c>
      <c r="B140" s="8">
        <v>1982</v>
      </c>
      <c r="C140" s="8">
        <v>1955</v>
      </c>
      <c r="D140" s="8">
        <v>2042</v>
      </c>
      <c r="E140" s="8">
        <v>1886</v>
      </c>
      <c r="F140" s="8">
        <v>1906</v>
      </c>
      <c r="G140" s="8">
        <v>1846</v>
      </c>
      <c r="H140" s="3">
        <v>543</v>
      </c>
      <c r="I140" s="3">
        <v>669</v>
      </c>
    </row>
    <row r="141" spans="1:9" x14ac:dyDescent="0.3">
      <c r="A141" s="2" t="s">
        <v>107</v>
      </c>
      <c r="B141">
        <v>-82</v>
      </c>
      <c r="C141">
        <v>-86</v>
      </c>
      <c r="D141">
        <v>75</v>
      </c>
      <c r="E141">
        <v>26</v>
      </c>
      <c r="F141">
        <v>-7</v>
      </c>
      <c r="G141">
        <v>-11</v>
      </c>
      <c r="H141" s="3">
        <v>-2261</v>
      </c>
      <c r="I141" s="3">
        <v>-2219</v>
      </c>
    </row>
    <row r="142" spans="1:9" ht="15" thickBot="1" x14ac:dyDescent="0.35">
      <c r="A142" s="6" t="s">
        <v>111</v>
      </c>
      <c r="B142" s="7">
        <f t="shared" ref="B142" si="41">+SUM(B139:B141)</f>
        <v>6717</v>
      </c>
      <c r="C142" s="7">
        <f t="shared" ref="C142:G142" si="42">+SUM(C139:C141)</f>
        <v>7197</v>
      </c>
      <c r="D142" s="7">
        <f t="shared" si="42"/>
        <v>7309</v>
      </c>
      <c r="E142" s="7">
        <f t="shared" si="42"/>
        <v>7437</v>
      </c>
      <c r="F142" s="7">
        <f t="shared" si="42"/>
        <v>8256</v>
      </c>
      <c r="G142" s="7">
        <f t="shared" si="42"/>
        <v>6481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110</v>
      </c>
      <c r="B143" s="13">
        <f t="shared" ref="B143:G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ref="B143:H143" si="45">+H142-H10-H8</f>
        <v>0</v>
      </c>
      <c r="I143" s="13">
        <f>+I142-I10-I8</f>
        <v>0</v>
      </c>
    </row>
    <row r="144" spans="1:9" x14ac:dyDescent="0.3">
      <c r="A144" s="1" t="s">
        <v>116</v>
      </c>
    </row>
    <row r="145" spans="1:9" x14ac:dyDescent="0.3">
      <c r="A145" s="2" t="s">
        <v>99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">
      <c r="A146" s="2" t="s">
        <v>100</v>
      </c>
      <c r="B146">
        <v>451</v>
      </c>
      <c r="C146">
        <v>589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">
      <c r="A147" s="2" t="s">
        <v>101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">
      <c r="A148" s="2" t="s">
        <v>117</v>
      </c>
      <c r="B148">
        <v>340</v>
      </c>
      <c r="C148">
        <v>340</v>
      </c>
      <c r="D148">
        <v>326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">
      <c r="A149" s="2" t="s">
        <v>106</v>
      </c>
      <c r="B149">
        <v>484</v>
      </c>
      <c r="C149">
        <v>484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">
      <c r="A150" s="4" t="s">
        <v>118</v>
      </c>
      <c r="B150" s="5">
        <f t="shared" ref="B150:G150" si="46">+SUM(B145:B149)</f>
        <v>2161</v>
      </c>
      <c r="C150" s="5">
        <f t="shared" si="46"/>
        <v>2389</v>
      </c>
      <c r="D150" s="5">
        <f t="shared" si="46"/>
        <v>2612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B150:I150" si="47">+SUM(H145:H149)</f>
        <v>2971</v>
      </c>
      <c r="I150" s="5">
        <f t="shared" si="47"/>
        <v>2925</v>
      </c>
    </row>
    <row r="151" spans="1:9" x14ac:dyDescent="0.3">
      <c r="A151" s="2" t="s">
        <v>103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">
      <c r="A152" s="2" t="s">
        <v>107</v>
      </c>
      <c r="B152">
        <v>713</v>
      </c>
      <c r="C152">
        <v>937</v>
      </c>
      <c r="D152">
        <v>1238</v>
      </c>
      <c r="E152">
        <v>1450</v>
      </c>
      <c r="F152">
        <v>1673</v>
      </c>
      <c r="G152">
        <v>1916</v>
      </c>
      <c r="H152" s="3">
        <v>1870</v>
      </c>
      <c r="I152" s="3">
        <v>1817</v>
      </c>
    </row>
    <row r="153" spans="1:9" ht="15" thickBot="1" x14ac:dyDescent="0.35">
      <c r="A153" s="6" t="s">
        <v>119</v>
      </c>
      <c r="B153" s="7">
        <f t="shared" ref="B153:G153" si="48">+SUM(B150:B152)</f>
        <v>2996</v>
      </c>
      <c r="C153" s="7">
        <f t="shared" si="48"/>
        <v>3451</v>
      </c>
      <c r="D153" s="7">
        <f t="shared" si="48"/>
        <v>3975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B153:H153" si="49">+SUM(H150:H152)</f>
        <v>4904</v>
      </c>
      <c r="I153" s="7">
        <f>+SUM(I150:I152)</f>
        <v>4791</v>
      </c>
    </row>
    <row r="154" spans="1:9" ht="15" thickTop="1" x14ac:dyDescent="0.3">
      <c r="A154" s="12" t="s">
        <v>110</v>
      </c>
      <c r="B154" s="13">
        <f t="shared" ref="B154:G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ref="B154:H154" si="51">+H153-H31</f>
        <v>0</v>
      </c>
      <c r="I154" s="13">
        <f>+I153-I31</f>
        <v>0</v>
      </c>
    </row>
    <row r="155" spans="1:9" x14ac:dyDescent="0.3">
      <c r="A155" s="1" t="s">
        <v>121</v>
      </c>
    </row>
    <row r="156" spans="1:9" x14ac:dyDescent="0.3">
      <c r="A156" s="2" t="s">
        <v>99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">
      <c r="A157" s="2" t="s">
        <v>100</v>
      </c>
      <c r="B157">
        <v>216</v>
      </c>
      <c r="C157">
        <v>215</v>
      </c>
      <c r="D157">
        <v>162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">
      <c r="A158" s="2" t="s">
        <v>101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">
      <c r="A159" s="2" t="s">
        <v>117</v>
      </c>
      <c r="B159">
        <v>37</v>
      </c>
      <c r="C159">
        <v>51</v>
      </c>
      <c r="D159">
        <v>39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">
      <c r="A160" s="2" t="s">
        <v>106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">
      <c r="A161" s="4" t="s">
        <v>118</v>
      </c>
      <c r="B161" s="5">
        <f t="shared" ref="B161:G161" si="52">+SUM(B156:B160)</f>
        <v>755</v>
      </c>
      <c r="C161" s="5">
        <f t="shared" si="52"/>
        <v>810</v>
      </c>
      <c r="D161" s="5">
        <f t="shared" si="52"/>
        <v>753</v>
      </c>
      <c r="E161" s="5">
        <f t="shared" si="52"/>
        <v>847</v>
      </c>
      <c r="F161" s="5">
        <f t="shared" si="52"/>
        <v>724</v>
      </c>
      <c r="G161" s="5">
        <f t="shared" si="52"/>
        <v>756</v>
      </c>
      <c r="H161" s="5">
        <f t="shared" ref="B161:I161" si="53">+SUM(H156:H160)</f>
        <v>677</v>
      </c>
      <c r="I161" s="5">
        <f t="shared" si="53"/>
        <v>699</v>
      </c>
    </row>
    <row r="162" spans="1:9" x14ac:dyDescent="0.3">
      <c r="A162" s="2" t="s">
        <v>103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>
        <v>12</v>
      </c>
      <c r="H162" s="3">
        <v>7</v>
      </c>
      <c r="I162" s="3">
        <v>9</v>
      </c>
    </row>
    <row r="163" spans="1:9" x14ac:dyDescent="0.3">
      <c r="A163" s="2" t="s">
        <v>107</v>
      </c>
      <c r="B163" s="3">
        <f t="shared" ref="B163:G163" si="54">-(SUM(B161:B162)+B81)</f>
        <v>139</v>
      </c>
      <c r="C163" s="3">
        <f t="shared" si="54"/>
        <v>294</v>
      </c>
      <c r="D163" s="3">
        <f t="shared" si="54"/>
        <v>322</v>
      </c>
      <c r="E163" s="3">
        <f t="shared" si="54"/>
        <v>159</v>
      </c>
      <c r="F163" s="3">
        <f t="shared" si="54"/>
        <v>377</v>
      </c>
      <c r="G163" s="3">
        <f t="shared" si="54"/>
        <v>318</v>
      </c>
      <c r="H163" s="3">
        <f t="shared" ref="B163:H163" si="55">-(SUM(H161:H162)+H81)</f>
        <v>11</v>
      </c>
      <c r="I163" s="3">
        <f>-(SUM(I161:I162)+I81)</f>
        <v>50</v>
      </c>
    </row>
    <row r="164" spans="1:9" ht="15" thickBot="1" x14ac:dyDescent="0.35">
      <c r="A164" s="6" t="s">
        <v>122</v>
      </c>
      <c r="B164" s="7">
        <f t="shared" ref="B164:G164" si="56">+SUM(B161:B163)</f>
        <v>963</v>
      </c>
      <c r="C164" s="7">
        <f t="shared" si="56"/>
        <v>1143</v>
      </c>
      <c r="D164" s="7">
        <f t="shared" si="56"/>
        <v>1105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ref="B164:H164" si="57">+SUM(H161:H163)</f>
        <v>695</v>
      </c>
      <c r="I164" s="7">
        <f>+SUM(I161:I163)</f>
        <v>758</v>
      </c>
    </row>
    <row r="165" spans="1:9" ht="15" thickTop="1" x14ac:dyDescent="0.3">
      <c r="A165" s="12" t="s">
        <v>110</v>
      </c>
      <c r="B165" s="13">
        <f t="shared" ref="B165:G165" si="58">+B164+B81</f>
        <v>0</v>
      </c>
      <c r="C165" s="13">
        <f t="shared" si="58"/>
        <v>0</v>
      </c>
      <c r="D165" s="13">
        <f t="shared" si="58"/>
        <v>0</v>
      </c>
      <c r="E165" s="13">
        <f t="shared" si="58"/>
        <v>0</v>
      </c>
      <c r="F165" s="13">
        <f t="shared" si="58"/>
        <v>0</v>
      </c>
      <c r="G165" s="13">
        <f t="shared" si="58"/>
        <v>0</v>
      </c>
      <c r="H165" s="13">
        <f t="shared" ref="B165:H165" si="59">+H164+H81</f>
        <v>0</v>
      </c>
      <c r="I165" s="13">
        <f>+I164+I81</f>
        <v>0</v>
      </c>
    </row>
    <row r="166" spans="1:9" x14ac:dyDescent="0.3">
      <c r="A166" s="1" t="s">
        <v>123</v>
      </c>
    </row>
    <row r="167" spans="1:9" x14ac:dyDescent="0.3">
      <c r="A167" s="2" t="s">
        <v>99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">
      <c r="A168" s="2" t="s">
        <v>100</v>
      </c>
      <c r="B168">
        <v>75</v>
      </c>
      <c r="C168">
        <v>72</v>
      </c>
      <c r="D168">
        <v>91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">
      <c r="A169" s="2" t="s">
        <v>101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">
      <c r="A170" s="2" t="s">
        <v>105</v>
      </c>
      <c r="B170">
        <v>27</v>
      </c>
      <c r="C170">
        <v>38</v>
      </c>
      <c r="D170">
        <v>38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">
      <c r="A171" s="2" t="s">
        <v>106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">
      <c r="A172" s="4" t="s">
        <v>118</v>
      </c>
      <c r="B172" s="5">
        <f t="shared" ref="B172:G172" si="60">+SUM(B167:B171)</f>
        <v>479</v>
      </c>
      <c r="C172" s="5">
        <f t="shared" si="60"/>
        <v>521</v>
      </c>
      <c r="D172" s="5">
        <f t="shared" si="60"/>
        <v>556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ref="B172:I172" si="61">+SUM(H167:H171)</f>
        <v>577</v>
      </c>
      <c r="I172" s="5">
        <f t="shared" si="61"/>
        <v>561</v>
      </c>
    </row>
    <row r="173" spans="1:9" x14ac:dyDescent="0.3">
      <c r="A173" s="2" t="s">
        <v>103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">
      <c r="A174" s="2" t="s">
        <v>107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35">
      <c r="A175" s="6" t="s">
        <v>124</v>
      </c>
      <c r="B175" s="7">
        <f t="shared" ref="B175:G175" si="62">+SUM(B172:B174)</f>
        <v>572</v>
      </c>
      <c r="C175" s="7">
        <f t="shared" si="62"/>
        <v>632</v>
      </c>
      <c r="D175" s="7">
        <f t="shared" si="62"/>
        <v>675</v>
      </c>
      <c r="E175" s="7">
        <f t="shared" si="62"/>
        <v>747</v>
      </c>
      <c r="F175" s="7">
        <f t="shared" si="62"/>
        <v>705</v>
      </c>
      <c r="G175" s="7">
        <f t="shared" si="62"/>
        <v>721</v>
      </c>
      <c r="H175" s="7">
        <f t="shared" ref="B175:H175" si="63">+SUM(H172:H174)</f>
        <v>744</v>
      </c>
      <c r="I175" s="7">
        <f>+SUM(I172:I174)</f>
        <v>717</v>
      </c>
    </row>
    <row r="176" spans="1:9" ht="15" thickTop="1" x14ac:dyDescent="0.3">
      <c r="A176" s="12" t="s">
        <v>110</v>
      </c>
      <c r="B176" s="13">
        <f t="shared" ref="B176:G176" si="64">+B175-B66</f>
        <v>0</v>
      </c>
      <c r="C176" s="13">
        <f t="shared" si="64"/>
        <v>0</v>
      </c>
      <c r="D176" s="13">
        <f t="shared" si="64"/>
        <v>0</v>
      </c>
      <c r="E176" s="13">
        <f t="shared" si="64"/>
        <v>0</v>
      </c>
      <c r="F176" s="13">
        <f t="shared" si="64"/>
        <v>0</v>
      </c>
      <c r="G176" s="13">
        <f t="shared" si="64"/>
        <v>0</v>
      </c>
      <c r="H176" s="13">
        <f t="shared" ref="B176:H176" si="65">+H175-H66</f>
        <v>0</v>
      </c>
      <c r="I176" s="13">
        <f>+I175-I66</f>
        <v>0</v>
      </c>
    </row>
    <row r="177" spans="1:9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126</v>
      </c>
    </row>
    <row r="179" spans="1:9" x14ac:dyDescent="0.3">
      <c r="A179" s="33" t="s">
        <v>99</v>
      </c>
      <c r="B179" s="34">
        <v>7.0000000000000007E-2</v>
      </c>
      <c r="C179" s="34">
        <v>7.0000000000000007E-2</v>
      </c>
      <c r="D179" s="34">
        <v>7.0000000000000007E-2</v>
      </c>
      <c r="E179" s="34">
        <v>7.0000000000000007E-2</v>
      </c>
      <c r="F179" s="34">
        <v>7.0000000000000007E-2</v>
      </c>
      <c r="G179" s="34">
        <v>7.0000000000000007E-2</v>
      </c>
      <c r="H179" s="34">
        <v>7.0000000000000007E-2</v>
      </c>
      <c r="I179" s="34">
        <v>7.0000000000000007E-2</v>
      </c>
    </row>
    <row r="180" spans="1:9" x14ac:dyDescent="0.3">
      <c r="A180" s="31" t="s">
        <v>112</v>
      </c>
      <c r="B180" s="30">
        <v>0.08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0.19</v>
      </c>
      <c r="I180" s="30">
        <v>0.05</v>
      </c>
    </row>
    <row r="181" spans="1:9" x14ac:dyDescent="0.3">
      <c r="A181" s="31" t="s">
        <v>113</v>
      </c>
      <c r="B181" s="30">
        <v>0.03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0.19</v>
      </c>
      <c r="I181" s="30">
        <v>0.09</v>
      </c>
    </row>
    <row r="182" spans="1:9" x14ac:dyDescent="0.3">
      <c r="A182" s="31" t="s">
        <v>114</v>
      </c>
      <c r="B182" s="30">
        <v>-0.13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-0.08</v>
      </c>
      <c r="H182" s="30">
        <v>0.19</v>
      </c>
      <c r="I182" s="30">
        <v>0.25</v>
      </c>
    </row>
    <row r="183" spans="1:9" x14ac:dyDescent="0.3">
      <c r="A183" s="33" t="s">
        <v>100</v>
      </c>
      <c r="B183" s="34">
        <v>0.12</v>
      </c>
      <c r="C183" s="34">
        <v>0.12</v>
      </c>
      <c r="D183" s="34">
        <v>0.12</v>
      </c>
      <c r="E183" s="34">
        <v>0.12</v>
      </c>
      <c r="F183" s="34">
        <v>0.12</v>
      </c>
      <c r="G183" s="34">
        <v>0.12</v>
      </c>
      <c r="H183" s="34">
        <v>0.12</v>
      </c>
      <c r="I183" s="34">
        <v>0.12</v>
      </c>
    </row>
    <row r="184" spans="1:9" x14ac:dyDescent="0.3">
      <c r="A184" s="31" t="s">
        <v>112</v>
      </c>
      <c r="B184" s="30">
        <v>0.12</v>
      </c>
      <c r="C184" s="30">
        <v>0.16</v>
      </c>
      <c r="D184" s="30">
        <v>0.06</v>
      </c>
      <c r="E184" s="30">
        <v>0.09</v>
      </c>
      <c r="F184" s="30">
        <v>7.0000000000000007E-2</v>
      </c>
      <c r="G184" s="30">
        <v>-0.06</v>
      </c>
      <c r="H184" s="30">
        <v>0.17</v>
      </c>
      <c r="I184" s="30">
        <v>0.09</v>
      </c>
    </row>
    <row r="185" spans="1:9" x14ac:dyDescent="0.3">
      <c r="A185" s="31" t="s">
        <v>113</v>
      </c>
      <c r="B185" s="30">
        <v>0.09</v>
      </c>
      <c r="C185" s="30">
        <v>0.17</v>
      </c>
      <c r="D185" s="30">
        <v>0.23</v>
      </c>
      <c r="E185" s="30">
        <v>0.16</v>
      </c>
      <c r="F185" s="30">
        <v>0.05</v>
      </c>
      <c r="G185" s="30">
        <v>-0.01</v>
      </c>
      <c r="H185" s="30">
        <v>0.17</v>
      </c>
      <c r="I185" s="30">
        <v>0.16</v>
      </c>
    </row>
    <row r="186" spans="1:9" x14ac:dyDescent="0.3">
      <c r="A186" s="31" t="s">
        <v>114</v>
      </c>
      <c r="B186" s="30">
        <v>7.0000000000000007E-2</v>
      </c>
      <c r="C186" s="30">
        <v>0.06</v>
      </c>
      <c r="D186" s="30">
        <v>0.11</v>
      </c>
      <c r="E186" s="30">
        <v>0.05</v>
      </c>
      <c r="F186" s="30">
        <v>-0.03</v>
      </c>
      <c r="G186" s="30">
        <v>-7.0000000000000007E-2</v>
      </c>
      <c r="H186" s="30">
        <v>0.17</v>
      </c>
      <c r="I186" s="30">
        <v>0.17</v>
      </c>
    </row>
    <row r="187" spans="1:9" x14ac:dyDescent="0.3">
      <c r="A187" s="33" t="s">
        <v>101</v>
      </c>
      <c r="B187" s="34">
        <v>-0.13</v>
      </c>
      <c r="C187" s="34">
        <v>-0.13</v>
      </c>
      <c r="D187" s="34">
        <v>-0.13</v>
      </c>
      <c r="E187" s="34">
        <v>-0.13</v>
      </c>
      <c r="F187" s="34">
        <v>-0.13</v>
      </c>
      <c r="G187" s="34">
        <v>-0.13</v>
      </c>
      <c r="H187" s="34">
        <v>-0.13</v>
      </c>
      <c r="I187" s="34">
        <v>-0.13</v>
      </c>
    </row>
    <row r="188" spans="1:9" x14ac:dyDescent="0.3">
      <c r="A188" s="31" t="s">
        <v>112</v>
      </c>
      <c r="B188" s="30">
        <v>0.14000000000000001</v>
      </c>
      <c r="C188" s="30">
        <v>0.12</v>
      </c>
      <c r="D188" s="30">
        <v>0.1</v>
      </c>
      <c r="E188" s="30">
        <v>-0.05</v>
      </c>
      <c r="F188" s="30">
        <v>-0.13</v>
      </c>
      <c r="G188" s="30">
        <v>-0.1</v>
      </c>
      <c r="H188" s="30">
        <v>0.24</v>
      </c>
      <c r="I188" s="30">
        <v>-0.1</v>
      </c>
    </row>
    <row r="189" spans="1:9" x14ac:dyDescent="0.3">
      <c r="A189" s="31" t="s">
        <v>113</v>
      </c>
      <c r="B189" s="30">
        <v>0.17</v>
      </c>
      <c r="C189" s="30">
        <v>0.2</v>
      </c>
      <c r="D189" s="30">
        <v>0.25</v>
      </c>
      <c r="E189" s="30">
        <v>0.21</v>
      </c>
      <c r="F189" s="30">
        <v>0.19</v>
      </c>
      <c r="G189" s="30">
        <v>-0.06</v>
      </c>
      <c r="H189" s="30">
        <v>0.24</v>
      </c>
      <c r="I189" s="30">
        <v>-0.21</v>
      </c>
    </row>
    <row r="190" spans="1:9" x14ac:dyDescent="0.3">
      <c r="A190" s="31" t="s">
        <v>114</v>
      </c>
      <c r="B190" s="30">
        <v>0.06</v>
      </c>
      <c r="C190" s="30">
        <v>0.12</v>
      </c>
      <c r="D190" s="30">
        <v>0.11</v>
      </c>
      <c r="E190" s="30">
        <v>0.06</v>
      </c>
      <c r="F190" s="30">
        <v>0.01</v>
      </c>
      <c r="G190" s="30">
        <v>-7.0000000000000007E-2</v>
      </c>
      <c r="H190" s="30">
        <v>0.24</v>
      </c>
      <c r="I190" s="30">
        <v>-0.06</v>
      </c>
    </row>
    <row r="191" spans="1:9" x14ac:dyDescent="0.3">
      <c r="A191" s="33" t="s">
        <v>105</v>
      </c>
      <c r="B191" s="34">
        <v>0.16</v>
      </c>
      <c r="C191" s="34">
        <v>0.16</v>
      </c>
      <c r="D191" s="34">
        <v>0.16</v>
      </c>
      <c r="E191" s="34">
        <v>0.16</v>
      </c>
      <c r="F191" s="34">
        <v>0.16</v>
      </c>
      <c r="G191" s="34">
        <v>0.16</v>
      </c>
      <c r="H191" s="34">
        <v>0.16</v>
      </c>
      <c r="I191" s="34">
        <v>0.16</v>
      </c>
    </row>
    <row r="192" spans="1:9" x14ac:dyDescent="0.3">
      <c r="A192" s="31" t="s">
        <v>112</v>
      </c>
      <c r="B192" s="30">
        <v>0.12</v>
      </c>
      <c r="C192" s="30">
        <v>0.18</v>
      </c>
      <c r="D192" s="30">
        <v>0.06</v>
      </c>
      <c r="E192" s="30">
        <v>0.1</v>
      </c>
      <c r="F192" s="30">
        <v>0.13</v>
      </c>
      <c r="G192" s="30">
        <v>0.01</v>
      </c>
      <c r="H192" s="30">
        <v>0.08</v>
      </c>
      <c r="I192" s="30">
        <v>0.17</v>
      </c>
    </row>
    <row r="193" spans="1:9" x14ac:dyDescent="0.3">
      <c r="A193" s="31" t="s">
        <v>113</v>
      </c>
      <c r="B193" s="30">
        <v>7.0000000000000007E-2</v>
      </c>
      <c r="C193" s="30">
        <v>0.15</v>
      </c>
      <c r="D193" s="30">
        <v>0.23</v>
      </c>
      <c r="E193" s="30">
        <v>0.14000000000000001</v>
      </c>
      <c r="F193" s="30">
        <v>0.12</v>
      </c>
      <c r="G193" s="30">
        <v>0.03</v>
      </c>
      <c r="H193" s="30">
        <v>0.08</v>
      </c>
      <c r="I193" s="30">
        <v>0.12</v>
      </c>
    </row>
    <row r="194" spans="1:9" x14ac:dyDescent="0.3">
      <c r="A194" s="31" t="s">
        <v>114</v>
      </c>
      <c r="B194" s="30">
        <v>0.08</v>
      </c>
      <c r="C194" s="30">
        <v>7.0000000000000007E-2</v>
      </c>
      <c r="D194" s="30">
        <v>0.11</v>
      </c>
      <c r="E194" s="30">
        <v>0.09</v>
      </c>
      <c r="F194" s="30">
        <v>0.08</v>
      </c>
      <c r="G194" s="30">
        <v>-0.04</v>
      </c>
      <c r="H194" s="30">
        <v>0.08</v>
      </c>
      <c r="I194" s="30">
        <v>0.28000000000000003</v>
      </c>
    </row>
    <row r="195" spans="1:9" x14ac:dyDescent="0.3">
      <c r="A195" s="33" t="s">
        <v>106</v>
      </c>
      <c r="B195" s="34">
        <v>3.02</v>
      </c>
      <c r="C195" s="34">
        <v>3.02</v>
      </c>
      <c r="D195" s="34">
        <v>3.02</v>
      </c>
      <c r="E195" s="34">
        <v>3.02</v>
      </c>
      <c r="F195" s="34">
        <v>3.02</v>
      </c>
      <c r="G195" s="34">
        <v>3.02</v>
      </c>
      <c r="H195" s="34">
        <v>3.02</v>
      </c>
      <c r="I195" s="34">
        <v>3.02</v>
      </c>
    </row>
    <row r="196" spans="1:9" x14ac:dyDescent="0.3">
      <c r="A196" s="35" t="s">
        <v>102</v>
      </c>
      <c r="B196" s="37">
        <v>0.1</v>
      </c>
      <c r="C196" s="37">
        <v>0.12</v>
      </c>
      <c r="D196" s="37">
        <v>0.08</v>
      </c>
      <c r="E196" s="37">
        <v>0.06</v>
      </c>
      <c r="F196" s="37">
        <v>7.0000000000000007E-2</v>
      </c>
      <c r="G196" s="37">
        <v>0.06</v>
      </c>
      <c r="H196" s="37">
        <v>0.19</v>
      </c>
      <c r="I196" s="37">
        <v>0.06</v>
      </c>
    </row>
    <row r="197" spans="1:9" x14ac:dyDescent="0.3">
      <c r="A197" s="33" t="s">
        <v>103</v>
      </c>
      <c r="B197" s="34">
        <v>0.18</v>
      </c>
      <c r="C197" s="34">
        <v>0.02</v>
      </c>
      <c r="D197" s="34">
        <v>-0.08</v>
      </c>
      <c r="E197" s="34">
        <v>-0.01</v>
      </c>
      <c r="F197" s="34">
        <v>-0.01</v>
      </c>
      <c r="G197" s="34">
        <v>-0.1</v>
      </c>
      <c r="H197" s="34">
        <v>0.19</v>
      </c>
      <c r="I197" s="34">
        <v>7.0000000000000007E-2</v>
      </c>
    </row>
    <row r="198" spans="1:9" x14ac:dyDescent="0.3">
      <c r="A198" s="31" t="s">
        <v>112</v>
      </c>
      <c r="B198" s="30">
        <v>0.13</v>
      </c>
      <c r="C198" s="30">
        <v>0.15</v>
      </c>
      <c r="D198" s="30">
        <v>0.06</v>
      </c>
      <c r="E198" s="30">
        <v>0.04</v>
      </c>
      <c r="F198" s="30">
        <v>0.08</v>
      </c>
      <c r="G198" s="30">
        <v>-0.04</v>
      </c>
      <c r="H198" s="30">
        <v>0.16</v>
      </c>
      <c r="I198" s="30">
        <v>0.06</v>
      </c>
    </row>
    <row r="199" spans="1:9" x14ac:dyDescent="0.3">
      <c r="A199" s="31" t="s">
        <v>113</v>
      </c>
      <c r="B199" s="30">
        <v>0.1</v>
      </c>
      <c r="C199" s="30">
        <v>0.11</v>
      </c>
      <c r="D199" s="30">
        <v>0.09</v>
      </c>
      <c r="E199" s="30">
        <v>0.11</v>
      </c>
      <c r="F199" s="30">
        <v>0.08</v>
      </c>
      <c r="G199" s="30">
        <v>-0.06</v>
      </c>
      <c r="H199" s="30">
        <v>0.16</v>
      </c>
      <c r="I199" s="30">
        <v>-0.03</v>
      </c>
    </row>
    <row r="200" spans="1:9" x14ac:dyDescent="0.3">
      <c r="A200" s="31" t="s">
        <v>114</v>
      </c>
      <c r="B200" s="30">
        <v>0.01</v>
      </c>
      <c r="C200" s="30">
        <v>0.04</v>
      </c>
      <c r="D200" s="30">
        <v>-0.02</v>
      </c>
      <c r="E200" s="30">
        <v>-0.02</v>
      </c>
      <c r="F200" s="30">
        <v>-0.05</v>
      </c>
      <c r="G200" s="30">
        <v>-0.08</v>
      </c>
      <c r="H200" s="30">
        <v>0.16</v>
      </c>
      <c r="I200" s="30">
        <v>-0.16</v>
      </c>
    </row>
    <row r="201" spans="1:9" x14ac:dyDescent="0.3">
      <c r="A201" s="31" t="s">
        <v>120</v>
      </c>
      <c r="B201" s="30">
        <v>0.01</v>
      </c>
      <c r="C201" s="30">
        <v>0.04</v>
      </c>
      <c r="D201" s="30">
        <v>-0.02</v>
      </c>
      <c r="E201" s="30">
        <v>-0.02</v>
      </c>
      <c r="F201" s="30">
        <v>-0.05</v>
      </c>
      <c r="G201" s="30">
        <v>-0.08</v>
      </c>
      <c r="H201" s="30">
        <v>0.16</v>
      </c>
      <c r="I201" s="30">
        <v>0.42</v>
      </c>
    </row>
    <row r="202" spans="1:9" x14ac:dyDescent="0.3">
      <c r="A202" s="29" t="s">
        <v>107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104</v>
      </c>
      <c r="B203" s="36">
        <v>0.06</v>
      </c>
      <c r="C203" s="36">
        <v>7.0000000000000007E-2</v>
      </c>
      <c r="D203" s="36">
        <v>0.08</v>
      </c>
      <c r="E203" s="36">
        <v>7.0000000000000007E-2</v>
      </c>
      <c r="F203" s="36">
        <v>0.06</v>
      </c>
      <c r="G203" s="36">
        <v>0.05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G54" sqref="G54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62">
        <v>30601</v>
      </c>
      <c r="C3" s="62">
        <v>32376</v>
      </c>
      <c r="D3" s="62">
        <v>34350</v>
      </c>
      <c r="E3" s="62">
        <v>36397</v>
      </c>
      <c r="F3" s="62">
        <v>39117</v>
      </c>
      <c r="G3" s="62">
        <v>37403</v>
      </c>
      <c r="H3" s="62">
        <v>44538</v>
      </c>
      <c r="I3" s="62">
        <v>46710</v>
      </c>
      <c r="J3" s="62">
        <v>49045.5</v>
      </c>
      <c r="K3" s="62">
        <v>51497.78</v>
      </c>
      <c r="L3" s="62">
        <v>54072.66</v>
      </c>
      <c r="M3" s="62">
        <v>56776.3</v>
      </c>
      <c r="N3" s="62">
        <v>59615.11</v>
      </c>
      <c r="O3" t="s">
        <v>141</v>
      </c>
    </row>
    <row r="4" spans="1:15" x14ac:dyDescent="0.3">
      <c r="A4" s="42" t="s">
        <v>128</v>
      </c>
      <c r="B4" s="63">
        <v>0.06</v>
      </c>
      <c r="C4" s="63">
        <v>0.06</v>
      </c>
      <c r="D4" s="63">
        <v>0.06</v>
      </c>
      <c r="E4" s="63">
        <v>7.0000000000000007E-2</v>
      </c>
      <c r="F4" s="63">
        <v>-0.04</v>
      </c>
      <c r="G4" s="63">
        <v>0.19</v>
      </c>
      <c r="H4" s="63">
        <v>0.05</v>
      </c>
      <c r="I4" s="63">
        <v>0.05</v>
      </c>
      <c r="J4" s="63">
        <v>0.05</v>
      </c>
      <c r="K4" s="63">
        <v>0.05</v>
      </c>
      <c r="L4" s="63">
        <v>0.05</v>
      </c>
      <c r="M4" s="63">
        <v>0.05</v>
      </c>
      <c r="N4" s="63">
        <v>0.05</v>
      </c>
    </row>
    <row r="5" spans="1:15" x14ac:dyDescent="0.3">
      <c r="A5" s="41" t="s">
        <v>129</v>
      </c>
      <c r="B5" s="62">
        <v>7200</v>
      </c>
      <c r="C5" s="62">
        <v>7600</v>
      </c>
      <c r="D5" s="62">
        <v>8000</v>
      </c>
      <c r="E5" s="62">
        <v>8300</v>
      </c>
      <c r="F5" s="62">
        <v>8500</v>
      </c>
      <c r="G5" s="62">
        <v>7000</v>
      </c>
      <c r="H5" s="62">
        <v>9500</v>
      </c>
      <c r="I5" s="62">
        <v>9800</v>
      </c>
      <c r="J5" s="62">
        <v>10113.6</v>
      </c>
      <c r="K5" s="62">
        <v>10437.24</v>
      </c>
      <c r="L5" s="62">
        <v>10771.23</v>
      </c>
      <c r="M5" s="62">
        <v>11115.91</v>
      </c>
      <c r="N5" s="62">
        <v>11471.61</v>
      </c>
      <c r="O5" t="s">
        <v>142</v>
      </c>
    </row>
    <row r="6" spans="1:15" x14ac:dyDescent="0.3">
      <c r="A6" s="42" t="s">
        <v>128</v>
      </c>
      <c r="B6" s="64">
        <v>5.6000000000000001E-2</v>
      </c>
      <c r="C6" s="64">
        <v>5.2999999999999999E-2</v>
      </c>
      <c r="D6" s="64">
        <v>3.7999999999999999E-2</v>
      </c>
      <c r="E6" s="64">
        <v>2.4E-2</v>
      </c>
      <c r="F6" s="64">
        <v>-0.17599999999999999</v>
      </c>
      <c r="G6" s="64">
        <v>0.35699999999999998</v>
      </c>
      <c r="H6" s="64">
        <v>3.2000000000000001E-2</v>
      </c>
      <c r="I6" s="64">
        <v>3.2000000000000001E-2</v>
      </c>
      <c r="J6" s="64">
        <v>3.2000000000000001E-2</v>
      </c>
      <c r="K6" s="64">
        <v>3.2000000000000001E-2</v>
      </c>
      <c r="L6" s="64">
        <v>3.2000000000000001E-2</v>
      </c>
      <c r="M6" s="64">
        <v>3.2000000000000001E-2</v>
      </c>
      <c r="N6" s="64">
        <v>3.2000000000000001E-2</v>
      </c>
    </row>
    <row r="7" spans="1:15" x14ac:dyDescent="0.3">
      <c r="A7" s="42" t="s">
        <v>130</v>
      </c>
      <c r="B7" s="64">
        <v>0.23499999999999999</v>
      </c>
      <c r="C7" s="64">
        <v>0.23499999999999999</v>
      </c>
      <c r="D7" s="64">
        <v>0.23300000000000001</v>
      </c>
      <c r="E7" s="64">
        <v>0.22800000000000001</v>
      </c>
      <c r="F7" s="64">
        <v>0.217</v>
      </c>
      <c r="G7" s="64">
        <v>0.187</v>
      </c>
      <c r="H7" s="64">
        <v>0.21299999999999999</v>
      </c>
      <c r="I7" s="64">
        <v>0.21</v>
      </c>
      <c r="J7" s="64">
        <v>0.21</v>
      </c>
      <c r="K7" s="64">
        <v>0.21</v>
      </c>
      <c r="L7" s="64">
        <v>0.21</v>
      </c>
      <c r="M7" s="64">
        <v>0.21</v>
      </c>
      <c r="N7" s="64">
        <v>0.21</v>
      </c>
    </row>
    <row r="8" spans="1:15" x14ac:dyDescent="0.3">
      <c r="A8" s="41" t="s">
        <v>131</v>
      </c>
      <c r="B8" s="62">
        <v>1500</v>
      </c>
      <c r="C8" s="62">
        <v>1600</v>
      </c>
      <c r="D8" s="62">
        <v>1700</v>
      </c>
      <c r="E8" s="62">
        <v>1800</v>
      </c>
      <c r="F8" s="62">
        <v>1850</v>
      </c>
      <c r="G8" s="62">
        <v>1750</v>
      </c>
      <c r="H8" s="62">
        <v>1900</v>
      </c>
      <c r="I8" s="62">
        <v>2000</v>
      </c>
      <c r="J8" s="62">
        <v>2106</v>
      </c>
      <c r="K8" s="62">
        <v>2217.62</v>
      </c>
      <c r="L8" s="62">
        <v>2335.15</v>
      </c>
      <c r="M8" s="62">
        <v>2458.91</v>
      </c>
      <c r="N8" s="62">
        <v>2589.2399999999998</v>
      </c>
      <c r="O8" t="s">
        <v>143</v>
      </c>
    </row>
    <row r="9" spans="1:15" x14ac:dyDescent="0.3">
      <c r="A9" s="42" t="s">
        <v>128</v>
      </c>
      <c r="B9" s="64">
        <v>6.7000000000000004E-2</v>
      </c>
      <c r="C9" s="64">
        <v>6.3E-2</v>
      </c>
      <c r="D9" s="64">
        <v>5.8999999999999997E-2</v>
      </c>
      <c r="E9" s="64">
        <v>2.8000000000000001E-2</v>
      </c>
      <c r="F9" s="64">
        <v>-5.3999999999999999E-2</v>
      </c>
      <c r="G9" s="64">
        <v>8.5999999999999993E-2</v>
      </c>
      <c r="H9" s="64">
        <v>5.2999999999999999E-2</v>
      </c>
      <c r="I9" s="64">
        <v>5.2999999999999999E-2</v>
      </c>
      <c r="J9" s="64">
        <v>5.2999999999999999E-2</v>
      </c>
      <c r="K9" s="64">
        <v>5.2999999999999999E-2</v>
      </c>
      <c r="L9" s="64">
        <v>5.2999999999999999E-2</v>
      </c>
      <c r="M9" s="64">
        <v>5.2999999999999999E-2</v>
      </c>
      <c r="N9" s="64">
        <v>5.2999999999999999E-2</v>
      </c>
    </row>
    <row r="10" spans="1:15" x14ac:dyDescent="0.3">
      <c r="A10" s="42" t="s">
        <v>132</v>
      </c>
      <c r="B10" s="64">
        <v>4.9000000000000002E-2</v>
      </c>
      <c r="C10" s="64">
        <v>4.9000000000000002E-2</v>
      </c>
      <c r="D10" s="64">
        <v>0.05</v>
      </c>
      <c r="E10" s="64">
        <v>4.9000000000000002E-2</v>
      </c>
      <c r="F10" s="64">
        <v>4.7E-2</v>
      </c>
      <c r="G10" s="64">
        <v>4.7E-2</v>
      </c>
      <c r="H10" s="64">
        <v>4.2999999999999997E-2</v>
      </c>
      <c r="I10" s="64">
        <v>4.2999999999999997E-2</v>
      </c>
      <c r="J10" s="64">
        <v>4.2999999999999997E-2</v>
      </c>
      <c r="K10" s="64">
        <v>4.2999999999999997E-2</v>
      </c>
      <c r="L10" s="64">
        <v>4.2999999999999997E-2</v>
      </c>
      <c r="M10" s="64">
        <v>4.2999999999999997E-2</v>
      </c>
      <c r="N10" s="64">
        <v>4.2999999999999997E-2</v>
      </c>
    </row>
    <row r="11" spans="1:15" x14ac:dyDescent="0.3">
      <c r="A11" s="41" t="s">
        <v>133</v>
      </c>
      <c r="B11" s="62">
        <v>4500</v>
      </c>
      <c r="C11" s="62">
        <v>4800</v>
      </c>
      <c r="D11" s="62">
        <v>5100</v>
      </c>
      <c r="E11" s="62">
        <v>5200</v>
      </c>
      <c r="F11" s="62">
        <v>5400</v>
      </c>
      <c r="G11" s="62">
        <v>3000</v>
      </c>
      <c r="H11" s="62">
        <v>6923</v>
      </c>
      <c r="I11" s="62">
        <v>6856</v>
      </c>
      <c r="J11" s="62">
        <v>6787.44</v>
      </c>
      <c r="K11" s="62">
        <v>6719.57</v>
      </c>
      <c r="L11" s="62">
        <v>6652.37</v>
      </c>
      <c r="M11" s="62">
        <v>6585.85</v>
      </c>
      <c r="N11" s="62">
        <v>6519.99</v>
      </c>
      <c r="O11" t="s">
        <v>144</v>
      </c>
    </row>
    <row r="12" spans="1:15" x14ac:dyDescent="0.3">
      <c r="A12" s="42" t="s">
        <v>128</v>
      </c>
      <c r="B12" s="64">
        <v>6.7000000000000004E-2</v>
      </c>
      <c r="C12" s="64">
        <v>6.3E-2</v>
      </c>
      <c r="D12" s="64">
        <v>0.02</v>
      </c>
      <c r="E12" s="64">
        <v>3.7999999999999999E-2</v>
      </c>
      <c r="F12" s="64">
        <v>-0.44400000000000001</v>
      </c>
      <c r="G12" s="64">
        <v>1.3069999999999999</v>
      </c>
      <c r="H12" s="64">
        <v>-0.01</v>
      </c>
      <c r="I12" s="64">
        <v>-0.01</v>
      </c>
      <c r="J12" s="64">
        <v>-0.01</v>
      </c>
      <c r="K12" s="64">
        <v>-0.01</v>
      </c>
      <c r="L12" s="64">
        <v>-0.01</v>
      </c>
      <c r="M12" s="64">
        <v>-0.01</v>
      </c>
      <c r="N12" s="64">
        <v>-0.01</v>
      </c>
    </row>
    <row r="13" spans="1:15" x14ac:dyDescent="0.3">
      <c r="A13" s="42" t="s">
        <v>130</v>
      </c>
      <c r="B13" s="64">
        <v>0.14699999999999999</v>
      </c>
      <c r="C13" s="64">
        <v>0.15</v>
      </c>
      <c r="D13" s="64">
        <v>0.152</v>
      </c>
      <c r="E13" s="64">
        <v>0.14299999999999999</v>
      </c>
      <c r="F13" s="64">
        <v>0.14499999999999999</v>
      </c>
      <c r="G13" s="64">
        <v>0.08</v>
      </c>
      <c r="H13" s="64">
        <v>0.155</v>
      </c>
      <c r="I13" s="64">
        <v>0.14699999999999999</v>
      </c>
      <c r="J13" s="64">
        <v>0.14699999999999999</v>
      </c>
      <c r="K13" s="64">
        <v>0.14699999999999999</v>
      </c>
      <c r="L13" s="64">
        <v>0.14699999999999999</v>
      </c>
      <c r="M13" s="64">
        <v>0.14699999999999999</v>
      </c>
      <c r="N13" s="64">
        <v>0.14699999999999999</v>
      </c>
    </row>
    <row r="14" spans="1:15" x14ac:dyDescent="0.3">
      <c r="A14" s="41" t="s">
        <v>134</v>
      </c>
      <c r="B14" s="62">
        <v>1200</v>
      </c>
      <c r="C14" s="62">
        <v>1300</v>
      </c>
      <c r="D14" s="62">
        <v>1350</v>
      </c>
      <c r="E14" s="62">
        <v>1400</v>
      </c>
      <c r="F14" s="62">
        <v>1500</v>
      </c>
      <c r="G14" s="62">
        <v>1000</v>
      </c>
      <c r="H14" s="62">
        <v>1600</v>
      </c>
      <c r="I14" s="62">
        <v>1700</v>
      </c>
      <c r="J14" s="62">
        <v>1807.1</v>
      </c>
      <c r="K14" s="62">
        <v>1920.95</v>
      </c>
      <c r="L14" s="62">
        <v>2041.97</v>
      </c>
      <c r="M14" s="62">
        <v>2170.61</v>
      </c>
      <c r="N14" s="62">
        <v>2307.36</v>
      </c>
      <c r="O14" t="s">
        <v>145</v>
      </c>
    </row>
    <row r="15" spans="1:15" x14ac:dyDescent="0.3">
      <c r="A15" s="42" t="s">
        <v>128</v>
      </c>
      <c r="B15" s="64">
        <v>8.3000000000000004E-2</v>
      </c>
      <c r="C15" s="64">
        <v>3.7999999999999999E-2</v>
      </c>
      <c r="D15" s="64">
        <v>3.6999999999999998E-2</v>
      </c>
      <c r="E15" s="64">
        <v>7.0999999999999994E-2</v>
      </c>
      <c r="F15" s="64">
        <v>-0.33300000000000002</v>
      </c>
      <c r="G15" s="64">
        <v>0.6</v>
      </c>
      <c r="H15" s="64">
        <v>6.3E-2</v>
      </c>
      <c r="I15" s="64">
        <v>6.3E-2</v>
      </c>
      <c r="J15" s="64">
        <v>6.3E-2</v>
      </c>
      <c r="K15" s="64">
        <v>6.3E-2</v>
      </c>
      <c r="L15" s="64">
        <v>6.3E-2</v>
      </c>
      <c r="M15" s="64">
        <v>6.3E-2</v>
      </c>
      <c r="N15" s="64">
        <v>6.3E-2</v>
      </c>
    </row>
    <row r="16" spans="1:15" x14ac:dyDescent="0.3">
      <c r="A16" s="42" t="s">
        <v>132</v>
      </c>
      <c r="B16" s="64">
        <v>3.9E-2</v>
      </c>
      <c r="C16" s="64">
        <v>0.04</v>
      </c>
      <c r="D16" s="64">
        <v>3.9E-2</v>
      </c>
      <c r="E16" s="64">
        <v>3.7999999999999999E-2</v>
      </c>
      <c r="F16" s="64">
        <v>3.7999999999999999E-2</v>
      </c>
      <c r="G16" s="64">
        <v>2.7E-2</v>
      </c>
      <c r="H16" s="64">
        <v>3.5999999999999997E-2</v>
      </c>
      <c r="I16" s="64">
        <v>3.5999999999999997E-2</v>
      </c>
      <c r="J16" s="64">
        <v>3.5999999999999997E-2</v>
      </c>
      <c r="K16" s="64">
        <v>3.5999999999999997E-2</v>
      </c>
      <c r="L16" s="64">
        <v>3.5999999999999997E-2</v>
      </c>
      <c r="M16" s="64">
        <v>3.5999999999999997E-2</v>
      </c>
      <c r="N16" s="64">
        <v>3.5999999999999997E-2</v>
      </c>
    </row>
    <row r="17" spans="1:15" x14ac:dyDescent="0.3">
      <c r="A17" s="9" t="s">
        <v>140</v>
      </c>
      <c r="B17" s="62">
        <v>3011</v>
      </c>
      <c r="C17" s="62">
        <v>3520</v>
      </c>
      <c r="D17" s="62">
        <v>3989</v>
      </c>
      <c r="E17" s="62">
        <v>4544</v>
      </c>
      <c r="F17" s="62">
        <v>4744</v>
      </c>
      <c r="G17" s="62">
        <v>4866</v>
      </c>
      <c r="H17" s="62">
        <v>4904</v>
      </c>
      <c r="I17" s="62">
        <v>4791</v>
      </c>
      <c r="J17" s="62">
        <v>4680.8100000000004</v>
      </c>
      <c r="K17" s="62">
        <v>4573.1499999999996</v>
      </c>
      <c r="L17" s="62">
        <v>4467.97</v>
      </c>
      <c r="M17" s="62">
        <v>4365.2</v>
      </c>
      <c r="N17" s="62">
        <v>4264.8</v>
      </c>
      <c r="O17" t="s">
        <v>146</v>
      </c>
    </row>
    <row r="18" spans="1:15" x14ac:dyDescent="0.3">
      <c r="A18" s="42" t="s">
        <v>128</v>
      </c>
      <c r="B18" s="64">
        <v>0.16900000000000001</v>
      </c>
      <c r="C18" s="64">
        <v>0.13300000000000001</v>
      </c>
      <c r="D18" s="64">
        <v>0.14000000000000001</v>
      </c>
      <c r="E18" s="64">
        <v>0.14000000000000001</v>
      </c>
      <c r="F18" s="64">
        <v>4.3999999999999997E-2</v>
      </c>
      <c r="G18" s="64">
        <v>2.5999999999999999E-2</v>
      </c>
      <c r="H18" s="64">
        <v>8.0000000000000002E-3</v>
      </c>
      <c r="I18" s="64">
        <v>-2.3E-2</v>
      </c>
      <c r="J18" s="64">
        <v>-2.3E-2</v>
      </c>
      <c r="K18" s="64">
        <v>-2.3E-2</v>
      </c>
      <c r="L18" s="64">
        <v>-2.3E-2</v>
      </c>
      <c r="M18" s="64">
        <v>-2.3E-2</v>
      </c>
      <c r="N18" s="64">
        <v>-2.3E-2</v>
      </c>
    </row>
    <row r="19" spans="1:15" x14ac:dyDescent="0.3">
      <c r="A19" s="42" t="s">
        <v>132</v>
      </c>
      <c r="B19" s="64">
        <v>9.8000000000000004E-2</v>
      </c>
      <c r="C19" s="64">
        <v>0.109</v>
      </c>
      <c r="D19" s="64">
        <v>0.11600000000000001</v>
      </c>
      <c r="E19" s="64">
        <v>0.125</v>
      </c>
      <c r="F19" s="64">
        <v>0.121</v>
      </c>
      <c r="G19" s="64">
        <v>0.13</v>
      </c>
      <c r="H19" s="64">
        <v>0.11</v>
      </c>
      <c r="I19" s="64">
        <v>0.10299999999999999</v>
      </c>
      <c r="J19" s="64">
        <v>0.10299999999999999</v>
      </c>
      <c r="K19" s="64">
        <v>0.10299999999999999</v>
      </c>
      <c r="L19" s="64">
        <v>0.10299999999999999</v>
      </c>
      <c r="M19" s="64">
        <v>0.10299999999999999</v>
      </c>
      <c r="N19" s="64">
        <v>0.10299999999999999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">+SUM(K23+K27+K31)</f>
        <v>18353</v>
      </c>
      <c r="L21" s="9">
        <f t="shared" si="2"/>
        <v>18353</v>
      </c>
      <c r="M21" s="9">
        <f t="shared" si="2"/>
        <v>18353</v>
      </c>
      <c r="N21" s="9">
        <f t="shared" si="2"/>
        <v>18353</v>
      </c>
    </row>
    <row r="22" spans="1:15" x14ac:dyDescent="0.3">
      <c r="A22" s="44" t="s">
        <v>128</v>
      </c>
      <c r="B22" s="47" t="str">
        <f t="shared" ref="B22:G22" si="3">+IFERROR(B21/A21-1,"nm")</f>
        <v>nm</v>
      </c>
      <c r="C22" s="47">
        <f t="shared" si="3"/>
        <v>7.4526928675400228E-2</v>
      </c>
      <c r="D22" s="47">
        <f t="shared" si="3"/>
        <v>3.0615009482525046E-2</v>
      </c>
      <c r="E22" s="47">
        <f t="shared" si="3"/>
        <v>-2.372502628811779E-2</v>
      </c>
      <c r="F22" s="47">
        <f t="shared" si="3"/>
        <v>7.0481319421070276E-2</v>
      </c>
      <c r="G22" s="47">
        <f t="shared" si="3"/>
        <v>-8.9171173437303519E-2</v>
      </c>
      <c r="H22" s="47">
        <f t="shared" ref="B22:H22" si="4">+IFERROR(H21/G21-1,"nm")</f>
        <v>0.18606738470035911</v>
      </c>
      <c r="I22" s="47">
        <f>+IFERROR(I21/H21-1,"nm")</f>
        <v>6.8339251411607238E-2</v>
      </c>
      <c r="J22" s="47">
        <f t="shared" ref="J22:N22" si="5">+IFERROR(J21/I21-1,"nm")</f>
        <v>0</v>
      </c>
      <c r="K22" s="47">
        <f t="shared" si="5"/>
        <v>0</v>
      </c>
      <c r="L22" s="47">
        <f t="shared" si="5"/>
        <v>0</v>
      </c>
      <c r="M22" s="47">
        <f t="shared" si="5"/>
        <v>0</v>
      </c>
      <c r="N22" s="47">
        <f t="shared" si="5"/>
        <v>0</v>
      </c>
    </row>
    <row r="23" spans="1:15" x14ac:dyDescent="0.3">
      <c r="A23" s="45" t="s">
        <v>112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6">+J23*(1+K24)</f>
        <v>12228</v>
      </c>
      <c r="L23" s="3">
        <f t="shared" si="6"/>
        <v>12228</v>
      </c>
      <c r="M23" s="3">
        <f t="shared" si="6"/>
        <v>12228</v>
      </c>
      <c r="N23" s="3">
        <f t="shared" si="6"/>
        <v>12228</v>
      </c>
    </row>
    <row r="24" spans="1:15" x14ac:dyDescent="0.3">
      <c r="A24" s="44" t="s">
        <v>128</v>
      </c>
      <c r="B24" s="47" t="str">
        <f t="shared" ref="B24:G24" si="7">+IFERROR(B23/A23-1,"nm")</f>
        <v>nm</v>
      </c>
      <c r="C24" s="47">
        <f t="shared" si="7"/>
        <v>9.3228309428638578E-2</v>
      </c>
      <c r="D24" s="47">
        <f t="shared" si="7"/>
        <v>4.1402301322722934E-2</v>
      </c>
      <c r="E24" s="47">
        <f t="shared" si="7"/>
        <v>-3.7381247418422192E-2</v>
      </c>
      <c r="F24" s="47">
        <f t="shared" si="7"/>
        <v>7.755846384895948E-2</v>
      </c>
      <c r="G24" s="47">
        <f t="shared" si="7"/>
        <v>-7.1279243404678949E-2</v>
      </c>
      <c r="H24" s="47">
        <f t="shared" ref="H24" si="8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9">+K25+K26</f>
        <v>0</v>
      </c>
      <c r="L24" s="47">
        <f t="shared" si="9"/>
        <v>0</v>
      </c>
      <c r="M24" s="47">
        <f t="shared" si="9"/>
        <v>0</v>
      </c>
      <c r="N24" s="47">
        <f t="shared" si="9"/>
        <v>0</v>
      </c>
    </row>
    <row r="25" spans="1:15" x14ac:dyDescent="0.3">
      <c r="A25" s="44" t="s">
        <v>136</v>
      </c>
      <c r="B25" s="47">
        <f>+[1]Historicals!B180</f>
        <v>0.08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+Historicals!H180</f>
        <v>0.19</v>
      </c>
      <c r="I25" s="47">
        <f>+Historicals!I180</f>
        <v>0.05</v>
      </c>
      <c r="J25" s="49">
        <v>0</v>
      </c>
      <c r="K25" s="49">
        <f t="shared" ref="K25:N26" si="10">+J25</f>
        <v>0</v>
      </c>
      <c r="L25" s="49">
        <f t="shared" si="10"/>
        <v>0</v>
      </c>
      <c r="M25" s="49">
        <f t="shared" si="10"/>
        <v>0</v>
      </c>
      <c r="N25" s="49">
        <f t="shared" si="10"/>
        <v>0</v>
      </c>
    </row>
    <row r="26" spans="1:15" x14ac:dyDescent="0.3">
      <c r="A26" s="44" t="s">
        <v>137</v>
      </c>
      <c r="B26" s="47" t="str">
        <f t="shared" ref="B26:G26" si="11">+IFERROR(B24-B25,"nm")</f>
        <v>nm</v>
      </c>
      <c r="C26" s="47">
        <f t="shared" si="11"/>
        <v>-6.7716905713614273E-3</v>
      </c>
      <c r="D26" s="47">
        <f t="shared" si="11"/>
        <v>1.4023013227229333E-3</v>
      </c>
      <c r="E26" s="47">
        <f t="shared" si="11"/>
        <v>2.6187525815778087E-3</v>
      </c>
      <c r="F26" s="47">
        <f t="shared" si="11"/>
        <v>-2.4415361510405215E-3</v>
      </c>
      <c r="G26" s="47">
        <f t="shared" si="11"/>
        <v>-1.2792434046789425E-3</v>
      </c>
      <c r="H26" s="47">
        <f t="shared" ref="B26:H26" si="12">+IFERROR(H24-H25,"nm")</f>
        <v>5.815092721620746E-2</v>
      </c>
      <c r="I26" s="47">
        <f>+IFERROR(I24-I25,"nm")</f>
        <v>1.5458605290268046E-4</v>
      </c>
      <c r="J26" s="49">
        <v>0</v>
      </c>
      <c r="K26" s="49">
        <f t="shared" si="10"/>
        <v>0</v>
      </c>
      <c r="L26" s="49">
        <f t="shared" si="10"/>
        <v>0</v>
      </c>
      <c r="M26" s="49">
        <f t="shared" si="10"/>
        <v>0</v>
      </c>
      <c r="N26" s="49">
        <f t="shared" si="10"/>
        <v>0</v>
      </c>
    </row>
    <row r="27" spans="1:15" x14ac:dyDescent="0.3">
      <c r="A27" s="45" t="s">
        <v>113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13">+J27*(1+K28)</f>
        <v>5492</v>
      </c>
      <c r="L27" s="3">
        <f t="shared" ref="L27" si="14">+K27*(1+L28)</f>
        <v>5492</v>
      </c>
      <c r="M27" s="3">
        <f t="shared" ref="M27" si="15">+L27*(1+M28)</f>
        <v>5492</v>
      </c>
      <c r="N27" s="3">
        <f t="shared" ref="N27" si="16">+M27*(1+N28)</f>
        <v>5492</v>
      </c>
    </row>
    <row r="28" spans="1:15" x14ac:dyDescent="0.3">
      <c r="A28" s="44" t="s">
        <v>128</v>
      </c>
      <c r="B28" s="47" t="str">
        <f t="shared" ref="B28:G28" si="17">+IFERROR(B27/A27-1,"nm")</f>
        <v>nm</v>
      </c>
      <c r="C28" s="47">
        <f t="shared" si="17"/>
        <v>7.6190476190476142E-2</v>
      </c>
      <c r="D28" s="47">
        <f t="shared" si="17"/>
        <v>2.9498525073746285E-2</v>
      </c>
      <c r="E28" s="47">
        <f t="shared" si="17"/>
        <v>1.0642652476463343E-2</v>
      </c>
      <c r="F28" s="47">
        <f t="shared" si="17"/>
        <v>6.5208586472256025E-2</v>
      </c>
      <c r="G28" s="47">
        <f t="shared" si="17"/>
        <v>-0.11806083650190113</v>
      </c>
      <c r="H28" s="47">
        <f t="shared" ref="H28" si="18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19">+K29+K30</f>
        <v>0</v>
      </c>
      <c r="L28" s="47">
        <f t="shared" ref="L28" si="20">+L29+L30</f>
        <v>0</v>
      </c>
      <c r="M28" s="47">
        <f t="shared" ref="M28" si="21">+M29+M30</f>
        <v>0</v>
      </c>
      <c r="N28" s="47">
        <f t="shared" ref="N28" si="22">+N29+N30</f>
        <v>0</v>
      </c>
    </row>
    <row r="29" spans="1:15" x14ac:dyDescent="0.3">
      <c r="A29" s="44" t="s">
        <v>136</v>
      </c>
      <c r="B29" s="47">
        <f>+[1]Historicals!B184</f>
        <v>0.12</v>
      </c>
      <c r="C29" s="47">
        <f>+[1]Historicals!C184</f>
        <v>0.16</v>
      </c>
      <c r="D29" s="47">
        <f>+[1]Historicals!D184</f>
        <v>0.06</v>
      </c>
      <c r="E29" s="47">
        <f>+[1]Historicals!E184</f>
        <v>0.09</v>
      </c>
      <c r="F29" s="47">
        <f>+[1]Historicals!F184</f>
        <v>7.0000000000000007E-2</v>
      </c>
      <c r="G29" s="47">
        <f>+[1]Historicals!G184</f>
        <v>-0.06</v>
      </c>
      <c r="H29" s="47">
        <f>+Historicals!H184</f>
        <v>0.17</v>
      </c>
      <c r="I29" s="47">
        <f>+Historicals!I184</f>
        <v>0.09</v>
      </c>
      <c r="J29" s="49">
        <v>0</v>
      </c>
      <c r="K29" s="49">
        <f t="shared" ref="K29:N29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</row>
    <row r="30" spans="1:15" x14ac:dyDescent="0.3">
      <c r="A30" s="44" t="s">
        <v>137</v>
      </c>
      <c r="B30" s="47" t="str">
        <f t="shared" ref="B30:G30" si="24">+IFERROR(B28-B29,"nm")</f>
        <v>nm</v>
      </c>
      <c r="C30" s="47">
        <f t="shared" si="24"/>
        <v>-8.3809523809523861E-2</v>
      </c>
      <c r="D30" s="47">
        <f t="shared" si="24"/>
        <v>-3.0501474926253713E-2</v>
      </c>
      <c r="E30" s="47">
        <f t="shared" si="24"/>
        <v>-7.9357347523536653E-2</v>
      </c>
      <c r="F30" s="47">
        <f t="shared" si="24"/>
        <v>-4.7914135277439818E-3</v>
      </c>
      <c r="G30" s="47">
        <f t="shared" si="24"/>
        <v>-5.8060836501901136E-2</v>
      </c>
      <c r="H30" s="47">
        <f t="shared" ref="H30" si="25">+IFERROR(H28-H29,"nm")</f>
        <v>-8.6145721060573471E-2</v>
      </c>
      <c r="I30" s="47">
        <f>+IFERROR(I28-I29,"nm")</f>
        <v>2.2832140015910107E-3</v>
      </c>
      <c r="J30" s="49">
        <v>0</v>
      </c>
      <c r="K30" s="49">
        <f t="shared" ref="K30:N30" si="26">+J30</f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5" x14ac:dyDescent="0.3">
      <c r="A31" s="45" t="s">
        <v>114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27">+J31*(1+K32)</f>
        <v>633</v>
      </c>
      <c r="L31" s="3">
        <f t="shared" ref="L31" si="28">+K31*(1+L32)</f>
        <v>633</v>
      </c>
      <c r="M31" s="3">
        <f t="shared" ref="M31" si="29">+L31*(1+M32)</f>
        <v>633</v>
      </c>
      <c r="N31" s="3">
        <f t="shared" ref="N31" si="30">+M31*(1+N32)</f>
        <v>633</v>
      </c>
    </row>
    <row r="32" spans="1:15" x14ac:dyDescent="0.3">
      <c r="A32" s="44" t="s">
        <v>128</v>
      </c>
      <c r="B32" s="47" t="str">
        <f t="shared" ref="B32:G32" si="31">+IFERROR(B31/A31-1,"nm")</f>
        <v>nm</v>
      </c>
      <c r="C32" s="47">
        <f t="shared" si="31"/>
        <v>-0.12742718446601942</v>
      </c>
      <c r="D32" s="47">
        <f t="shared" si="31"/>
        <v>-0.10152990264255912</v>
      </c>
      <c r="E32" s="47">
        <f t="shared" si="31"/>
        <v>-7.8947368421052655E-2</v>
      </c>
      <c r="F32" s="47">
        <f t="shared" si="31"/>
        <v>3.3613445378151141E-3</v>
      </c>
      <c r="G32" s="47">
        <f t="shared" si="31"/>
        <v>-0.13567839195979903</v>
      </c>
      <c r="H32" s="47">
        <f t="shared" ref="H32" si="32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33">+K33+K34</f>
        <v>0</v>
      </c>
      <c r="L32" s="47">
        <f t="shared" ref="L32" si="34">+L33+L34</f>
        <v>0</v>
      </c>
      <c r="M32" s="47">
        <f t="shared" ref="M32" si="35">+M33+M34</f>
        <v>0</v>
      </c>
      <c r="N32" s="47">
        <f t="shared" ref="N32" si="36">+N33+N34</f>
        <v>0</v>
      </c>
    </row>
    <row r="33" spans="1:14" x14ac:dyDescent="0.3">
      <c r="A33" s="44" t="s">
        <v>136</v>
      </c>
      <c r="B33" s="47">
        <f>+[1]Historicals!B182</f>
        <v>-0.13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-0.08</v>
      </c>
      <c r="H33" s="47">
        <f>+Historicals!H182</f>
        <v>0.19</v>
      </c>
      <c r="I33" s="47">
        <f>+Historicals!I182</f>
        <v>0.25</v>
      </c>
      <c r="J33" s="49">
        <v>0</v>
      </c>
      <c r="K33" s="49">
        <f t="shared" ref="K33:N33" si="37">+J33</f>
        <v>0</v>
      </c>
      <c r="L33" s="49">
        <f t="shared" si="37"/>
        <v>0</v>
      </c>
      <c r="M33" s="49">
        <f t="shared" si="37"/>
        <v>0</v>
      </c>
      <c r="N33" s="49">
        <f t="shared" si="37"/>
        <v>0</v>
      </c>
    </row>
    <row r="34" spans="1:14" x14ac:dyDescent="0.3">
      <c r="A34" s="44" t="s">
        <v>137</v>
      </c>
      <c r="B34" s="47" t="str">
        <f t="shared" ref="B34:G34" si="38">+IFERROR(B32-B33,"nm")</f>
        <v>nm</v>
      </c>
      <c r="C34" s="47">
        <f t="shared" si="38"/>
        <v>2.572815533980588E-3</v>
      </c>
      <c r="D34" s="47">
        <f t="shared" si="38"/>
        <v>-1.5299026425591167E-3</v>
      </c>
      <c r="E34" s="47">
        <f t="shared" si="38"/>
        <v>1.0526315789473467E-3</v>
      </c>
      <c r="F34" s="47">
        <f t="shared" si="38"/>
        <v>3.3613445378151141E-3</v>
      </c>
      <c r="G34" s="47">
        <f t="shared" si="38"/>
        <v>-5.5678391959799026E-2</v>
      </c>
      <c r="H34" s="47">
        <f t="shared" ref="H34" si="39">+IFERROR(H32-H33,"nm")</f>
        <v>-0.20744186046511631</v>
      </c>
      <c r="I34" s="47">
        <f>+IFERROR(I32-I33,"nm")</f>
        <v>-1.4792899408284654E-3</v>
      </c>
      <c r="J34" s="49">
        <v>0</v>
      </c>
      <c r="K34" s="49">
        <f t="shared" ref="K34:N34" si="40">+J34</f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129</v>
      </c>
      <c r="B35" s="48">
        <f t="shared" ref="B35:G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ref="B35:H35" si="42">+H42+H38</f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128</v>
      </c>
      <c r="B36" s="47" t="str">
        <f t="shared" ref="B36:G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ref="H36" si="45">+IFERROR(H35/G35-1,"nm")</f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3">
      <c r="A37" s="46" t="s">
        <v>130</v>
      </c>
      <c r="B37" s="47">
        <f t="shared" ref="B37:G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ref="B37:H37" si="48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3">
      <c r="A38" s="9" t="s">
        <v>131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50">+K41*K48</f>
        <v>124.00000000000001</v>
      </c>
      <c r="L38" s="48">
        <f t="shared" si="50"/>
        <v>124.00000000000001</v>
      </c>
      <c r="M38" s="48">
        <f t="shared" si="50"/>
        <v>124.00000000000001</v>
      </c>
      <c r="N38" s="48">
        <f t="shared" si="50"/>
        <v>124.00000000000001</v>
      </c>
    </row>
    <row r="39" spans="1:14" x14ac:dyDescent="0.3">
      <c r="A39" s="46" t="s">
        <v>128</v>
      </c>
      <c r="B39" s="47" t="str">
        <f t="shared" ref="B39:G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ref="H39" si="52">+IFERROR(H38/G38-1,"nm")</f>
        <v>-0.1216216216216216</v>
      </c>
      <c r="I39" s="47">
        <f>+IFERROR(I38/H38-1,"nm")</f>
        <v>-4.6153846153846101E-2</v>
      </c>
      <c r="J39" s="47">
        <f t="shared" ref="J39" si="53">+IFERROR(J38/I38-1,"nm")</f>
        <v>2.2204460492503131E-16</v>
      </c>
      <c r="K39" s="47">
        <f t="shared" ref="K39" si="54">+IFERROR(K38/J38-1,"nm")</f>
        <v>0</v>
      </c>
      <c r="L39" s="47">
        <f t="shared" ref="L39" si="55">+IFERROR(L38/K38-1,"nm")</f>
        <v>0</v>
      </c>
      <c r="M39" s="47">
        <f t="shared" ref="M39" si="56">+IFERROR(M38/L38-1,"nm")</f>
        <v>0</v>
      </c>
      <c r="N39" s="47">
        <f t="shared" ref="N39" si="57">+IFERROR(N38/M38-1,"nm")</f>
        <v>0</v>
      </c>
    </row>
    <row r="40" spans="1:14" x14ac:dyDescent="0.3">
      <c r="A40" s="46" t="s">
        <v>132</v>
      </c>
      <c r="B40" s="47">
        <f t="shared" ref="B40:G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ref="B40:H40" si="59">+IFERROR(H38/H$21,"nm")</f>
        <v>7.5673787764130628E-3</v>
      </c>
      <c r="I40" s="47">
        <f>+IFERROR(I38/I$21,"nm")</f>
        <v>6.7563886013185855E-3</v>
      </c>
      <c r="J40" s="47">
        <f t="shared" ref="J40:N40" si="60">+IFERROR(J38/J$21,"nm")</f>
        <v>6.7563886013185864E-3</v>
      </c>
      <c r="K40" s="47">
        <f t="shared" si="60"/>
        <v>6.7563886013185864E-3</v>
      </c>
      <c r="L40" s="47">
        <f t="shared" si="60"/>
        <v>6.7563886013185864E-3</v>
      </c>
      <c r="M40" s="47">
        <f t="shared" si="60"/>
        <v>6.7563886013185864E-3</v>
      </c>
      <c r="N40" s="47">
        <f t="shared" si="60"/>
        <v>6.7563886013185864E-3</v>
      </c>
    </row>
    <row r="41" spans="1:14" x14ac:dyDescent="0.3">
      <c r="A41" s="46" t="s">
        <v>139</v>
      </c>
      <c r="B41" s="47">
        <f t="shared" ref="B41:G41" si="61">+IFERROR(B38/B48,"nm")</f>
        <v>0.19145569620253164</v>
      </c>
      <c r="C41" s="47">
        <f t="shared" si="61"/>
        <v>0.17924528301886791</v>
      </c>
      <c r="D41" s="47">
        <f t="shared" si="61"/>
        <v>0.17094017094017094</v>
      </c>
      <c r="E41" s="47">
        <f t="shared" si="61"/>
        <v>0.18867924528301888</v>
      </c>
      <c r="F41" s="47">
        <f t="shared" si="61"/>
        <v>0.18304668304668303</v>
      </c>
      <c r="G41" s="47">
        <f t="shared" si="61"/>
        <v>0.22945736434108527</v>
      </c>
      <c r="H41" s="47">
        <f t="shared" ref="B41:H41" si="62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3">+J41</f>
        <v>0.19405320813771518</v>
      </c>
      <c r="L41" s="49">
        <f t="shared" si="63"/>
        <v>0.19405320813771518</v>
      </c>
      <c r="M41" s="49">
        <f t="shared" si="63"/>
        <v>0.19405320813771518</v>
      </c>
      <c r="N41" s="49">
        <f t="shared" si="63"/>
        <v>0.19405320813771518</v>
      </c>
    </row>
    <row r="42" spans="1:14" x14ac:dyDescent="0.3">
      <c r="A42" s="9" t="s">
        <v>133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64">+K35-K38</f>
        <v>5114</v>
      </c>
      <c r="L42" s="9">
        <f t="shared" si="64"/>
        <v>5114</v>
      </c>
      <c r="M42" s="9">
        <f t="shared" si="64"/>
        <v>5114</v>
      </c>
      <c r="N42" s="9">
        <f t="shared" si="64"/>
        <v>5114</v>
      </c>
    </row>
    <row r="43" spans="1:14" x14ac:dyDescent="0.3">
      <c r="A43" s="46" t="s">
        <v>128</v>
      </c>
      <c r="B43" s="47" t="str">
        <f t="shared" ref="B43:G43" si="65">+IFERROR(B42/A42-1,"nm")</f>
        <v>nm</v>
      </c>
      <c r="C43" s="47">
        <f t="shared" si="65"/>
        <v>3.2373113854595292E-2</v>
      </c>
      <c r="D43" s="47">
        <f t="shared" si="65"/>
        <v>2.9763486579856391E-2</v>
      </c>
      <c r="E43" s="47">
        <f t="shared" si="65"/>
        <v>-7.096774193548383E-2</v>
      </c>
      <c r="F43" s="47">
        <f t="shared" si="65"/>
        <v>9.0277777777777679E-2</v>
      </c>
      <c r="G43" s="47">
        <f t="shared" si="65"/>
        <v>-0.26140127388535028</v>
      </c>
      <c r="H43" s="47">
        <f t="shared" ref="H43" si="66">+IFERROR(H42/G42-1,"nm")</f>
        <v>0.75543290789927564</v>
      </c>
      <c r="I43" s="47">
        <f>+IFERROR(I42/H42-1,"nm")</f>
        <v>4.9125564943997002E-3</v>
      </c>
      <c r="J43" s="47">
        <f t="shared" ref="J43:N43" si="67">+IFERROR(J42/I42-1,"nm")</f>
        <v>0</v>
      </c>
      <c r="K43" s="47">
        <f t="shared" si="67"/>
        <v>0</v>
      </c>
      <c r="L43" s="47">
        <f t="shared" si="67"/>
        <v>0</v>
      </c>
      <c r="M43" s="47">
        <f t="shared" si="67"/>
        <v>0</v>
      </c>
      <c r="N43" s="47">
        <f t="shared" si="67"/>
        <v>0</v>
      </c>
    </row>
    <row r="44" spans="1:14" x14ac:dyDescent="0.3">
      <c r="A44" s="46" t="s">
        <v>130</v>
      </c>
      <c r="B44" s="47">
        <f t="shared" ref="B44:G44" si="68">+IFERROR(B42/B$21,"nm")</f>
        <v>0.26528384279475981</v>
      </c>
      <c r="C44" s="47">
        <f t="shared" si="68"/>
        <v>0.25487672717420751</v>
      </c>
      <c r="D44" s="47">
        <f t="shared" si="68"/>
        <v>0.25466614090431128</v>
      </c>
      <c r="E44" s="47">
        <f t="shared" si="68"/>
        <v>0.24234264557388085</v>
      </c>
      <c r="F44" s="47">
        <f t="shared" si="68"/>
        <v>0.2468242988303358</v>
      </c>
      <c r="G44" s="47">
        <f t="shared" si="68"/>
        <v>0.20015189174261253</v>
      </c>
      <c r="H44" s="47">
        <f t="shared" ref="B44:H44" si="69">+IFERROR(H42/H$21,"nm")</f>
        <v>0.29623377379358518</v>
      </c>
      <c r="I44" s="47">
        <f>+IFERROR(I42/I$21,"nm")</f>
        <v>0.27864654279954232</v>
      </c>
      <c r="J44" s="47">
        <f t="shared" ref="J44:N44" si="70">+IFERROR(J42/J$21,"nm")</f>
        <v>0.27864654279954232</v>
      </c>
      <c r="K44" s="47">
        <f t="shared" si="70"/>
        <v>0.27864654279954232</v>
      </c>
      <c r="L44" s="47">
        <f t="shared" si="70"/>
        <v>0.27864654279954232</v>
      </c>
      <c r="M44" s="47">
        <f t="shared" si="70"/>
        <v>0.27864654279954232</v>
      </c>
      <c r="N44" s="47">
        <f t="shared" si="70"/>
        <v>0.27864654279954232</v>
      </c>
    </row>
    <row r="45" spans="1:14" x14ac:dyDescent="0.3">
      <c r="A45" s="9" t="s">
        <v>134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71">+K21*K47</f>
        <v>146</v>
      </c>
      <c r="L45" s="48">
        <f t="shared" si="71"/>
        <v>146</v>
      </c>
      <c r="M45" s="48">
        <f t="shared" si="71"/>
        <v>146</v>
      </c>
      <c r="N45" s="48">
        <f t="shared" si="71"/>
        <v>146</v>
      </c>
    </row>
    <row r="46" spans="1:14" x14ac:dyDescent="0.3">
      <c r="A46" s="46" t="s">
        <v>128</v>
      </c>
      <c r="B46" s="47" t="str">
        <f t="shared" ref="B46:G46" si="72">+IFERROR(B45/A45-1,"nm")</f>
        <v>nm</v>
      </c>
      <c r="C46" s="47">
        <f t="shared" si="72"/>
        <v>0.16346153846153855</v>
      </c>
      <c r="D46" s="47">
        <f t="shared" si="72"/>
        <v>-7.8512396694214837E-2</v>
      </c>
      <c r="E46" s="47">
        <f t="shared" si="72"/>
        <v>-0.12107623318385652</v>
      </c>
      <c r="F46" s="47">
        <f t="shared" si="72"/>
        <v>-0.40306122448979587</v>
      </c>
      <c r="G46" s="47">
        <f t="shared" si="72"/>
        <v>-5.9829059829059839E-2</v>
      </c>
      <c r="H46" s="47">
        <f t="shared" ref="H46" si="73">+IFERROR(H45/G45-1,"nm")</f>
        <v>-0.10909090909090913</v>
      </c>
      <c r="I46" s="47">
        <f>+IFERROR(I45/H45-1,"nm")</f>
        <v>0.48979591836734704</v>
      </c>
      <c r="J46" s="47">
        <f t="shared" ref="J46" si="74">+IFERROR(J45/I45-1,"nm")</f>
        <v>0</v>
      </c>
      <c r="K46" s="47">
        <f t="shared" ref="K46" si="75">+IFERROR(K45/J45-1,"nm")</f>
        <v>0</v>
      </c>
      <c r="L46" s="47">
        <f t="shared" ref="L46" si="76">+IFERROR(L45/K45-1,"nm")</f>
        <v>0</v>
      </c>
      <c r="M46" s="47">
        <f t="shared" ref="M46" si="77">+IFERROR(M45/L45-1,"nm")</f>
        <v>0</v>
      </c>
      <c r="N46" s="47">
        <f t="shared" ref="N46" si="78">+IFERROR(N45/M45-1,"nm")</f>
        <v>0</v>
      </c>
    </row>
    <row r="47" spans="1:14" x14ac:dyDescent="0.3">
      <c r="A47" s="46" t="s">
        <v>132</v>
      </c>
      <c r="B47" s="47">
        <f t="shared" ref="B47:G47" si="79">+IFERROR(B45/B$21,"nm")</f>
        <v>1.5138282387190683E-2</v>
      </c>
      <c r="C47" s="47">
        <f t="shared" si="79"/>
        <v>1.6391221891086428E-2</v>
      </c>
      <c r="D47" s="47">
        <f t="shared" si="79"/>
        <v>1.4655625657202945E-2</v>
      </c>
      <c r="E47" s="47">
        <f t="shared" si="79"/>
        <v>1.3194210703466847E-2</v>
      </c>
      <c r="F47" s="47">
        <f t="shared" si="79"/>
        <v>7.3575650861526856E-3</v>
      </c>
      <c r="G47" s="47">
        <f t="shared" si="79"/>
        <v>7.5945871306268989E-3</v>
      </c>
      <c r="H47" s="47">
        <f t="shared" ref="B47:H47" si="80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81">+J47</f>
        <v>7.9551027080041418E-3</v>
      </c>
      <c r="L47" s="49">
        <f t="shared" si="81"/>
        <v>7.9551027080041418E-3</v>
      </c>
      <c r="M47" s="49">
        <f t="shared" si="81"/>
        <v>7.9551027080041418E-3</v>
      </c>
      <c r="N47" s="49">
        <f t="shared" si="81"/>
        <v>7.9551027080041418E-3</v>
      </c>
    </row>
    <row r="48" spans="1:14" x14ac:dyDescent="0.3">
      <c r="A48" s="9" t="s">
        <v>140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82">+K21*K50</f>
        <v>639.00000000000011</v>
      </c>
      <c r="L48" s="48">
        <f t="shared" si="82"/>
        <v>639.00000000000011</v>
      </c>
      <c r="M48" s="48">
        <f t="shared" si="82"/>
        <v>639.00000000000011</v>
      </c>
      <c r="N48" s="48">
        <f t="shared" si="82"/>
        <v>639.00000000000011</v>
      </c>
    </row>
    <row r="49" spans="1:14" x14ac:dyDescent="0.3">
      <c r="A49" s="46" t="s">
        <v>128</v>
      </c>
      <c r="B49" s="47" t="str">
        <f t="shared" ref="B49:G49" si="83">+IFERROR(B48/A48-1,"nm")</f>
        <v>nm</v>
      </c>
      <c r="C49" s="47">
        <f t="shared" si="83"/>
        <v>0.17405063291139244</v>
      </c>
      <c r="D49" s="47">
        <f t="shared" si="83"/>
        <v>0.10377358490566047</v>
      </c>
      <c r="E49" s="47">
        <f t="shared" si="83"/>
        <v>3.5409035409035505E-2</v>
      </c>
      <c r="F49" s="47">
        <f t="shared" si="83"/>
        <v>-4.0094339622641528E-2</v>
      </c>
      <c r="G49" s="47">
        <f t="shared" si="83"/>
        <v>-0.20761670761670759</v>
      </c>
      <c r="H49" s="47">
        <f t="shared" ref="H49" si="8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85">+K50+K51</f>
        <v>3.4817196098730456E-2</v>
      </c>
      <c r="L49" s="47">
        <f t="shared" ref="L49" si="86">+L50+L51</f>
        <v>3.4817196098730456E-2</v>
      </c>
      <c r="M49" s="47">
        <f t="shared" ref="M49" si="87">+M50+M51</f>
        <v>3.4817196098730456E-2</v>
      </c>
      <c r="N49" s="47">
        <f t="shared" ref="N49" si="88">+N50+N51</f>
        <v>3.4817196098730456E-2</v>
      </c>
    </row>
    <row r="50" spans="1:14" x14ac:dyDescent="0.3">
      <c r="A50" s="46" t="s">
        <v>132</v>
      </c>
      <c r="B50" s="47">
        <f t="shared" ref="B50:G50" si="89">+IFERROR(B48/B$21,"nm")</f>
        <v>4.599708879184862E-2</v>
      </c>
      <c r="C50" s="47">
        <f t="shared" si="89"/>
        <v>5.0257382823083174E-2</v>
      </c>
      <c r="D50" s="47">
        <f t="shared" si="89"/>
        <v>5.3824921135646686E-2</v>
      </c>
      <c r="E50" s="47">
        <f t="shared" si="89"/>
        <v>5.7085156512958597E-2</v>
      </c>
      <c r="F50" s="47">
        <f t="shared" si="89"/>
        <v>5.1188529744686205E-2</v>
      </c>
      <c r="G50" s="47">
        <f t="shared" si="89"/>
        <v>4.4531897265948632E-2</v>
      </c>
      <c r="H50" s="47">
        <f t="shared" ref="B50:H50" si="90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91">+J50</f>
        <v>3.4817196098730456E-2</v>
      </c>
      <c r="L50" s="49">
        <f t="shared" si="91"/>
        <v>3.4817196098730456E-2</v>
      </c>
      <c r="M50" s="49">
        <f t="shared" si="91"/>
        <v>3.4817196098730456E-2</v>
      </c>
      <c r="N50" s="49">
        <f t="shared" si="91"/>
        <v>3.4817196098730456E-2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134" workbookViewId="0">
      <selection activeCell="A50" sqref="A50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135</v>
      </c>
      <c r="B3" s="9">
        <f>Historicals!B2</f>
        <v>30601</v>
      </c>
      <c r="C3" s="9">
        <f>Historicals!C2</f>
        <v>32376</v>
      </c>
      <c r="D3" s="9">
        <f>Historicals!D2</f>
        <v>34350</v>
      </c>
      <c r="E3" s="9">
        <f>Historicals!E2</f>
        <v>36397</v>
      </c>
      <c r="F3" s="9">
        <f>Historicals!F2</f>
        <v>39117</v>
      </c>
      <c r="G3" s="9">
        <f>Historicals!G2</f>
        <v>37403</v>
      </c>
      <c r="H3" s="9">
        <f>Historicals!H2</f>
        <v>44538</v>
      </c>
      <c r="I3" s="9">
        <f>Historicals!I2</f>
        <v>46710</v>
      </c>
      <c r="J3" s="9"/>
      <c r="K3" s="9"/>
      <c r="L3" s="9"/>
      <c r="M3" s="9"/>
      <c r="N3" s="9"/>
      <c r="O3" t="s">
        <v>196</v>
      </c>
    </row>
    <row r="4" spans="1:15" x14ac:dyDescent="0.3">
      <c r="A4" s="42" t="s">
        <v>128</v>
      </c>
      <c r="B4" s="55">
        <f>'Segmental forecast'!B4</f>
        <v>0.06</v>
      </c>
      <c r="C4" s="55">
        <f>'Segmental forecast'!C4</f>
        <v>0.06</v>
      </c>
      <c r="D4" s="55">
        <f>'Segmental forecast'!D4</f>
        <v>0.06</v>
      </c>
      <c r="E4" s="55">
        <f>'Segmental forecast'!E4</f>
        <v>7.0000000000000007E-2</v>
      </c>
      <c r="F4" s="55">
        <f>'Segmental forecast'!F4</f>
        <v>-0.04</v>
      </c>
      <c r="G4" s="55">
        <f>'Segmental forecast'!G4</f>
        <v>0.19</v>
      </c>
      <c r="H4" s="55">
        <f>'Segmental forecast'!H4</f>
        <v>0.05</v>
      </c>
      <c r="I4" s="55">
        <f>'Segmental forecast'!I4</f>
        <v>0.05</v>
      </c>
      <c r="J4" s="55"/>
      <c r="K4" s="55"/>
      <c r="L4" s="55"/>
      <c r="M4" s="55"/>
      <c r="N4" s="55"/>
    </row>
    <row r="5" spans="1:15" x14ac:dyDescent="0.3">
      <c r="A5" s="1" t="s">
        <v>148</v>
      </c>
      <c r="B5" s="9">
        <f>'Segmental forecast'!B5</f>
        <v>7200</v>
      </c>
      <c r="C5" s="9">
        <f>'Segmental forecast'!C5</f>
        <v>7600</v>
      </c>
      <c r="D5" s="9">
        <f>'Segmental forecast'!D5</f>
        <v>8000</v>
      </c>
      <c r="E5" s="9">
        <f>'Segmental forecast'!E5</f>
        <v>8300</v>
      </c>
      <c r="F5" s="9">
        <f>'Segmental forecast'!F5</f>
        <v>8500</v>
      </c>
      <c r="G5" s="9">
        <f>'Segmental forecast'!G5</f>
        <v>7000</v>
      </c>
      <c r="H5" s="9">
        <f>'Segmental forecast'!H5</f>
        <v>9500</v>
      </c>
      <c r="I5" s="9">
        <f>'Segmental forecast'!I5</f>
        <v>9800</v>
      </c>
      <c r="J5" s="9"/>
      <c r="K5" s="9"/>
      <c r="L5" s="9"/>
      <c r="M5" s="9"/>
      <c r="N5" s="9"/>
    </row>
    <row r="6" spans="1:15" x14ac:dyDescent="0.3">
      <c r="A6" s="50" t="s">
        <v>131</v>
      </c>
      <c r="B6" s="56">
        <f>'Segmental forecast'!B8</f>
        <v>1500</v>
      </c>
      <c r="C6" s="56">
        <f>'Segmental forecast'!C8</f>
        <v>1600</v>
      </c>
      <c r="D6" s="56">
        <f>'Segmental forecast'!D8</f>
        <v>1700</v>
      </c>
      <c r="E6" s="56">
        <f>'Segmental forecast'!E8</f>
        <v>1800</v>
      </c>
      <c r="F6" s="56">
        <f>'Segmental forecast'!F8</f>
        <v>1850</v>
      </c>
      <c r="G6" s="56">
        <f>'Segmental forecast'!G8</f>
        <v>1750</v>
      </c>
      <c r="H6" s="56">
        <f>'Segmental forecast'!H8</f>
        <v>1900</v>
      </c>
      <c r="I6" s="56">
        <f>'Segmental forecast'!I8</f>
        <v>2000</v>
      </c>
      <c r="J6" s="56"/>
      <c r="K6" s="56"/>
      <c r="L6" s="56"/>
      <c r="M6" s="56"/>
      <c r="N6" s="56"/>
    </row>
    <row r="7" spans="1:15" x14ac:dyDescent="0.3">
      <c r="A7" s="4" t="s">
        <v>133</v>
      </c>
      <c r="B7" s="5">
        <f>'Segmental forecast'!B11</f>
        <v>4500</v>
      </c>
      <c r="C7" s="5">
        <f>'Segmental forecast'!C11</f>
        <v>4800</v>
      </c>
      <c r="D7" s="5">
        <f>'Segmental forecast'!D11</f>
        <v>5100</v>
      </c>
      <c r="E7" s="5">
        <f>'Segmental forecast'!E11</f>
        <v>5200</v>
      </c>
      <c r="F7" s="5">
        <f>'Segmental forecast'!F11</f>
        <v>5400</v>
      </c>
      <c r="G7" s="5">
        <f>'Segmental forecast'!G11</f>
        <v>3000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3">
      <c r="A8" s="42" t="s">
        <v>128</v>
      </c>
      <c r="B8" s="55">
        <f>'Segmental forecast'!B12</f>
        <v>6.7000000000000004E-2</v>
      </c>
      <c r="C8" s="55">
        <f>'Segmental forecast'!C12</f>
        <v>6.3E-2</v>
      </c>
      <c r="D8" s="55">
        <f>'Segmental forecast'!D12</f>
        <v>0.02</v>
      </c>
      <c r="E8" s="55">
        <f>'Segmental forecast'!E12</f>
        <v>3.7999999999999999E-2</v>
      </c>
      <c r="F8" s="55">
        <f>'Segmental forecast'!F12</f>
        <v>-0.44400000000000001</v>
      </c>
      <c r="G8" s="55">
        <f>'Segmental forecast'!G12</f>
        <v>1.3069999999999999</v>
      </c>
      <c r="H8" s="55">
        <f>'Segmental forecast'!H12</f>
        <v>-0.01</v>
      </c>
      <c r="I8" s="55">
        <f>'Segmental forecast'!I12</f>
        <v>-0.01</v>
      </c>
      <c r="J8" s="55"/>
      <c r="K8" s="55"/>
      <c r="L8" s="55"/>
      <c r="M8" s="55"/>
      <c r="N8" s="55"/>
    </row>
    <row r="9" spans="1:15" x14ac:dyDescent="0.3">
      <c r="A9" s="42" t="s">
        <v>130</v>
      </c>
      <c r="B9" s="55">
        <f>'Segmental forecast'!B13</f>
        <v>0.14699999999999999</v>
      </c>
      <c r="C9" s="55">
        <f>'Segmental forecast'!C13</f>
        <v>0.15</v>
      </c>
      <c r="D9" s="55">
        <f>'Segmental forecast'!D13</f>
        <v>0.152</v>
      </c>
      <c r="E9" s="55">
        <f>'Segmental forecast'!E13</f>
        <v>0.14299999999999999</v>
      </c>
      <c r="F9" s="55">
        <f>'Segmental forecast'!F13</f>
        <v>0.14499999999999999</v>
      </c>
      <c r="G9" s="55">
        <f>'Segmental forecast'!G13</f>
        <v>0.08</v>
      </c>
      <c r="H9" s="55">
        <f>'Segmental forecast'!H13</f>
        <v>0.155</v>
      </c>
      <c r="I9" s="55">
        <f>'Segmental forecast'!I13</f>
        <v>0.14699999999999999</v>
      </c>
      <c r="J9" s="55"/>
      <c r="K9" s="55"/>
      <c r="L9" s="55"/>
      <c r="M9" s="55"/>
      <c r="N9" s="55"/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149</v>
      </c>
      <c r="B11" s="5">
        <f>Historicals!B10</f>
        <v>6689</v>
      </c>
      <c r="C11" s="5">
        <f>Historicals!C10</f>
        <v>7178</v>
      </c>
      <c r="D11" s="5">
        <f>Historicals!D10</f>
        <v>7250</v>
      </c>
      <c r="E11" s="5">
        <f>Historicals!E10</f>
        <v>7383</v>
      </c>
      <c r="F11" s="5">
        <f>Historicals!F10</f>
        <v>8207</v>
      </c>
      <c r="G11" s="5">
        <f>Historicals!G10</f>
        <v>6392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51" t="s">
        <v>150</v>
      </c>
      <c r="B13" s="57">
        <f>B12/B11*100</f>
        <v>13.933323366721485</v>
      </c>
      <c r="C13" s="57">
        <f t="shared" ref="C13:I13" si="2">C12/C11*100</f>
        <v>12.0228475898579</v>
      </c>
      <c r="D13" s="57">
        <f t="shared" si="2"/>
        <v>8.9103448275862078</v>
      </c>
      <c r="E13" s="57">
        <f t="shared" si="2"/>
        <v>32.398753894080997</v>
      </c>
      <c r="F13" s="57">
        <f t="shared" si="2"/>
        <v>9.4066041184354816</v>
      </c>
      <c r="G13" s="57">
        <f t="shared" si="2"/>
        <v>5.4443053817271592</v>
      </c>
      <c r="H13" s="57">
        <f t="shared" si="2"/>
        <v>14.021918630836211</v>
      </c>
      <c r="I13" s="57">
        <f t="shared" si="2"/>
        <v>9.0963764847391371</v>
      </c>
      <c r="J13" s="58"/>
      <c r="K13" s="58"/>
      <c r="L13" s="58"/>
      <c r="M13" s="58"/>
      <c r="N13" s="58"/>
    </row>
    <row r="14" spans="1:15" ht="15" thickBot="1" x14ac:dyDescent="0.35">
      <c r="A14" s="6" t="s">
        <v>151</v>
      </c>
      <c r="B14" s="7">
        <f>Historicals!B12</f>
        <v>5757</v>
      </c>
      <c r="C14" s="7">
        <f>Historicals!C12</f>
        <v>6315</v>
      </c>
      <c r="D14" s="7">
        <f>Historicals!D12</f>
        <v>6604</v>
      </c>
      <c r="E14" s="7">
        <f>Historicals!E12</f>
        <v>4991</v>
      </c>
      <c r="F14" s="7">
        <f>Historicals!F12</f>
        <v>7435</v>
      </c>
      <c r="G14" s="7">
        <f>Historicals!G12</f>
        <v>6044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5" ht="15" thickTop="1" x14ac:dyDescent="0.3">
      <c r="A15" t="s">
        <v>152</v>
      </c>
      <c r="B15" s="3">
        <f>Historicals!B54</f>
        <v>3</v>
      </c>
      <c r="C15" s="3">
        <f>Historicals!C54</f>
        <v>3</v>
      </c>
      <c r="D15" s="3">
        <f>Historicals!D54</f>
        <v>3</v>
      </c>
      <c r="E15" s="3">
        <f>Historicals!E54</f>
        <v>3</v>
      </c>
      <c r="F15" s="3">
        <f>Historicals!F54</f>
        <v>3</v>
      </c>
      <c r="G15" s="3">
        <f>Historicals!G54</f>
        <v>3</v>
      </c>
      <c r="H15" s="3">
        <f>Historicals!H54</f>
        <v>3</v>
      </c>
      <c r="I15" s="3">
        <f>Historicals!I54</f>
        <v>3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153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2.4900000000000002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/>
      <c r="K16" s="59"/>
      <c r="L16" s="59"/>
      <c r="M16" s="59"/>
      <c r="N16" s="59"/>
    </row>
    <row r="17" spans="1:15" x14ac:dyDescent="0.3">
      <c r="A17" s="70" t="s">
        <v>154</v>
      </c>
      <c r="B17" s="59">
        <f>B61/B15</f>
        <v>-299.66666666666669</v>
      </c>
      <c r="C17" s="59">
        <f t="shared" ref="C17:I17" si="3">C61/C15</f>
        <v>-340.66666666666669</v>
      </c>
      <c r="D17" s="59">
        <f t="shared" si="3"/>
        <v>-377.66666666666669</v>
      </c>
      <c r="E17" s="59">
        <f t="shared" si="3"/>
        <v>-414.33333333333331</v>
      </c>
      <c r="F17" s="59">
        <f t="shared" si="3"/>
        <v>-444</v>
      </c>
      <c r="G17" s="59">
        <f t="shared" si="3"/>
        <v>-484</v>
      </c>
      <c r="H17" s="59">
        <f t="shared" si="3"/>
        <v>-546</v>
      </c>
      <c r="I17" s="59">
        <f t="shared" si="3"/>
        <v>-612.33333333333337</v>
      </c>
      <c r="J17" s="59"/>
      <c r="K17" s="59"/>
      <c r="L17" s="59"/>
      <c r="M17" s="59"/>
      <c r="N17" s="59"/>
    </row>
    <row r="18" spans="1:15" x14ac:dyDescent="0.3">
      <c r="A18" s="71" t="s">
        <v>128</v>
      </c>
      <c r="B18" s="57"/>
      <c r="C18" s="57">
        <f>C17-B17/B17*100</f>
        <v>-440.66666666666669</v>
      </c>
      <c r="D18" s="57">
        <f t="shared" ref="D18:I18" si="4">D17-C17/C17*100</f>
        <v>-477.66666666666669</v>
      </c>
      <c r="E18" s="57">
        <f t="shared" si="4"/>
        <v>-514.33333333333326</v>
      </c>
      <c r="F18" s="57">
        <f t="shared" si="4"/>
        <v>-544</v>
      </c>
      <c r="G18" s="57">
        <f t="shared" si="4"/>
        <v>-584</v>
      </c>
      <c r="H18" s="57">
        <f t="shared" si="4"/>
        <v>-646</v>
      </c>
      <c r="I18" s="57">
        <f t="shared" si="4"/>
        <v>-712.33333333333337</v>
      </c>
      <c r="J18" s="58"/>
      <c r="K18" s="58"/>
      <c r="L18" s="58"/>
      <c r="M18" s="58"/>
      <c r="N18" s="58"/>
      <c r="O18" t="s">
        <v>198</v>
      </c>
    </row>
    <row r="19" spans="1:15" x14ac:dyDescent="0.3">
      <c r="A19" s="71" t="s">
        <v>155</v>
      </c>
      <c r="B19" s="57">
        <f>B17/B16*100</f>
        <v>-16198.198198198199</v>
      </c>
      <c r="C19" s="57">
        <f t="shared" ref="C19:I19" si="5">C17/C16*100</f>
        <v>-15771.604938271605</v>
      </c>
      <c r="D19" s="57">
        <f t="shared" si="5"/>
        <v>-15046.480743691902</v>
      </c>
      <c r="E19" s="57">
        <f t="shared" si="5"/>
        <v>-35413.105413105419</v>
      </c>
      <c r="F19" s="57">
        <f t="shared" si="5"/>
        <v>-17831.325301204815</v>
      </c>
      <c r="G19" s="57">
        <f t="shared" si="5"/>
        <v>-30250</v>
      </c>
      <c r="H19" s="57">
        <f t="shared" si="5"/>
        <v>-15337.078651685393</v>
      </c>
      <c r="I19" s="57">
        <f t="shared" si="5"/>
        <v>-16328.888888888889</v>
      </c>
      <c r="J19" s="57"/>
      <c r="K19" s="57"/>
      <c r="L19" s="57"/>
      <c r="M19" s="57"/>
      <c r="N19" s="57"/>
      <c r="O19" t="s">
        <v>198</v>
      </c>
    </row>
    <row r="20" spans="1:15" x14ac:dyDescent="0.3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s="72" t="s">
        <v>158</v>
      </c>
      <c r="B22" s="3">
        <f>B69-(B32+B36)+B21</f>
        <v>-972</v>
      </c>
      <c r="C22" s="3">
        <f t="shared" ref="C22:E22" si="6">C69-(C32+C36)+C21</f>
        <v>-1966</v>
      </c>
      <c r="D22" s="3">
        <f>D69-(D32+D36)+D21</f>
        <v>6</v>
      </c>
      <c r="E22" s="3">
        <f t="shared" si="6"/>
        <v>6</v>
      </c>
      <c r="F22" s="3">
        <f t="shared" ref="C22:I22" si="7">F69-(F32+F36)+F21</f>
        <v>-3458</v>
      </c>
      <c r="G22" s="3">
        <f t="shared" si="7"/>
        <v>-9403</v>
      </c>
      <c r="H22" s="3">
        <f t="shared" si="7"/>
        <v>-9413</v>
      </c>
      <c r="I22" s="3">
        <f t="shared" si="7"/>
        <v>-8420</v>
      </c>
      <c r="J22" s="3"/>
      <c r="K22" s="3"/>
      <c r="L22" s="3"/>
      <c r="M22" s="3"/>
      <c r="N22" s="3"/>
    </row>
    <row r="23" spans="1:15" x14ac:dyDescent="0.3">
      <c r="A23" t="s">
        <v>159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/>
      <c r="K23" s="3"/>
      <c r="L23" s="3"/>
      <c r="M23" s="3"/>
      <c r="N23" s="3"/>
    </row>
    <row r="24" spans="1:15" x14ac:dyDescent="0.3">
      <c r="A24" s="51" t="s">
        <v>160</v>
      </c>
      <c r="B24" s="57">
        <f>B23/B3*100</f>
        <v>30.244109669618641</v>
      </c>
      <c r="C24" s="57">
        <f t="shared" ref="C24:I24" si="8">C23/C3*100</f>
        <v>29.858537188040522</v>
      </c>
      <c r="D24" s="57">
        <f t="shared" si="8"/>
        <v>30.820960698689959</v>
      </c>
      <c r="E24" s="57">
        <f t="shared" si="8"/>
        <v>24.985575734263811</v>
      </c>
      <c r="F24" s="57">
        <f t="shared" si="8"/>
        <v>22.136155635657133</v>
      </c>
      <c r="G24" s="57">
        <f t="shared" si="8"/>
        <v>32.81020239018261</v>
      </c>
      <c r="H24" s="57">
        <f t="shared" si="8"/>
        <v>37.309713054021287</v>
      </c>
      <c r="I24" s="57">
        <f t="shared" si="8"/>
        <v>37.428816099336331</v>
      </c>
      <c r="J24" s="58"/>
      <c r="K24" s="58"/>
      <c r="L24" s="58"/>
      <c r="M24" s="58"/>
      <c r="N24" s="58"/>
    </row>
    <row r="25" spans="1:15" x14ac:dyDescent="0.3">
      <c r="A25" t="s">
        <v>161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3">
      <c r="A26" t="s">
        <v>162</v>
      </c>
      <c r="B26" s="3">
        <f>Historicals!B31</f>
        <v>2996</v>
      </c>
      <c r="C26" s="3">
        <f>Historicals!C31</f>
        <v>3451</v>
      </c>
      <c r="D26" s="3">
        <f>Historicals!D31</f>
        <v>3975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3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165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/>
      <c r="K31" s="7"/>
      <c r="L31" s="7"/>
      <c r="M31" s="7"/>
      <c r="N31" s="7"/>
    </row>
    <row r="32" spans="1:15" ht="15" thickTop="1" x14ac:dyDescent="0.3">
      <c r="A32" t="s">
        <v>166</v>
      </c>
      <c r="B32" s="3">
        <f>Historicals!B40</f>
        <v>74</v>
      </c>
      <c r="C32" s="3">
        <f>Historicals!C40</f>
        <v>1</v>
      </c>
      <c r="D32" s="3">
        <f>Historicals!D40</f>
        <v>325</v>
      </c>
      <c r="E32" s="3">
        <f>Historicals!E40</f>
        <v>336</v>
      </c>
      <c r="F32" s="3">
        <f>Historicals!F40</f>
        <v>9</v>
      </c>
      <c r="G32" s="3">
        <f>Historicals!G40</f>
        <v>248</v>
      </c>
      <c r="H32" s="3">
        <f>Historicals!H40</f>
        <v>2</v>
      </c>
      <c r="I32" s="3">
        <f>Historicals!I40</f>
        <v>10</v>
      </c>
      <c r="J32" s="3"/>
      <c r="K32" s="3"/>
      <c r="L32" s="3"/>
      <c r="M32" s="3"/>
      <c r="N32" s="3"/>
    </row>
    <row r="33" spans="1:14" x14ac:dyDescent="0.3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167</v>
      </c>
      <c r="B35" s="3">
        <f>Historicals!B48</f>
        <v>1479</v>
      </c>
      <c r="C35" s="3">
        <f>Historicals!C48</f>
        <v>1770</v>
      </c>
      <c r="D35" s="3">
        <f>Historicals!D48</f>
        <v>1907</v>
      </c>
      <c r="E35" s="3">
        <f>Historicals!E48</f>
        <v>3216</v>
      </c>
      <c r="F35" s="3">
        <f>Historicals!F48</f>
        <v>0</v>
      </c>
      <c r="G35" s="3">
        <f>Historicals!G48</f>
        <v>2684</v>
      </c>
      <c r="H35" s="3">
        <f>Historicals!H48</f>
        <v>2955</v>
      </c>
      <c r="I35" s="3">
        <f>Historicals!I48</f>
        <v>2613</v>
      </c>
      <c r="J35" s="3"/>
      <c r="K35" s="3"/>
      <c r="L35" s="3"/>
      <c r="M35" s="3"/>
      <c r="N35" s="3"/>
    </row>
    <row r="36" spans="1:14" x14ac:dyDescent="0.3">
      <c r="A36" t="s">
        <v>48</v>
      </c>
      <c r="B36" s="3">
        <f>Historicals!B46</f>
        <v>1079</v>
      </c>
      <c r="C36" s="3">
        <f>Historicals!C46</f>
        <v>2010</v>
      </c>
      <c r="D36" s="3">
        <v>0</v>
      </c>
      <c r="E36" s="3">
        <v>0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3" t="s">
        <v>49</v>
      </c>
      <c r="B37" s="3">
        <v>0</v>
      </c>
      <c r="C37" s="3">
        <v>0</v>
      </c>
      <c r="D37" s="3">
        <f>Historicals!D47</f>
        <v>3471</v>
      </c>
      <c r="E37" s="3">
        <f>Historicals!E47</f>
        <v>3468</v>
      </c>
      <c r="F37" s="3"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168</v>
      </c>
      <c r="B38" s="3">
        <f>Historicals!B48+Historicals!B49+Historicals!B50</f>
        <v>1479</v>
      </c>
      <c r="C38" s="3">
        <f>Historicals!C48+Historicals!C49+Historicals!C50</f>
        <v>1770</v>
      </c>
      <c r="D38" s="3">
        <f>Historicals!D48+Historicals!D49+Historicals!D50</f>
        <v>1907</v>
      </c>
      <c r="E38" s="3">
        <f>Historicals!E48+Historicals!E49+Historicals!E50</f>
        <v>3216</v>
      </c>
      <c r="F38" s="3">
        <f>Historicals!F48+Historicals!F49+Historicals!F50</f>
        <v>0</v>
      </c>
      <c r="G38" s="3">
        <f>Historicals!G48+Historicals!G49+Historicals!G50</f>
        <v>2684</v>
      </c>
      <c r="H38" s="3">
        <f>Historicals!H48+Historicals!H49+Historicals!H50</f>
        <v>2955</v>
      </c>
      <c r="I38" s="3">
        <f>Historicals!I48+Historicals!I49+Historicals!I50</f>
        <v>2613</v>
      </c>
      <c r="J38" s="3"/>
      <c r="K38" s="3"/>
      <c r="L38" s="3"/>
      <c r="M38" s="3"/>
      <c r="N38" s="3"/>
    </row>
    <row r="39" spans="1:14" x14ac:dyDescent="0.3">
      <c r="A39" t="s">
        <v>169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/>
      <c r="K39" s="3"/>
      <c r="L39" s="3"/>
      <c r="M39" s="3"/>
      <c r="N39" s="3"/>
    </row>
    <row r="40" spans="1:14" x14ac:dyDescent="0.3">
      <c r="A40" s="2" t="s">
        <v>170</v>
      </c>
      <c r="B40" s="3">
        <f>305+1266*1</f>
        <v>1571</v>
      </c>
      <c r="C40" s="3">
        <f>305+1273*1</f>
        <v>1578</v>
      </c>
      <c r="D40" s="3">
        <f>329+1314*1</f>
        <v>1643</v>
      </c>
      <c r="E40" s="3">
        <f>320+1280*1</f>
        <v>1600</v>
      </c>
      <c r="F40" s="3">
        <f>305+1273*1</f>
        <v>1578</v>
      </c>
      <c r="G40" s="3">
        <f>310+1280*1</f>
        <v>1590</v>
      </c>
      <c r="H40" s="3">
        <f>315+1290*1</f>
        <v>1605</v>
      </c>
      <c r="I40" s="3">
        <f>320+1300*1</f>
        <v>1620</v>
      </c>
      <c r="J40" s="3"/>
      <c r="K40" s="3"/>
      <c r="L40" s="3"/>
      <c r="M40" s="3"/>
      <c r="N40" s="3"/>
    </row>
    <row r="41" spans="1:14" x14ac:dyDescent="0.3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172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173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/>
      <c r="K43" s="7"/>
      <c r="L43" s="7"/>
      <c r="M43" s="7"/>
      <c r="N43" s="7"/>
    </row>
    <row r="44" spans="1:14" ht="15" thickTop="1" x14ac:dyDescent="0.3">
      <c r="A44" s="74" t="s">
        <v>174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/>
      <c r="K44" s="54"/>
      <c r="L44" s="54"/>
      <c r="M44" s="54"/>
      <c r="N44" s="54"/>
    </row>
    <row r="45" spans="1:14" x14ac:dyDescent="0.3">
      <c r="A45" s="52" t="s">
        <v>175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133</v>
      </c>
      <c r="B46" s="9">
        <f>'Segmental forecast'!B11</f>
        <v>4500</v>
      </c>
      <c r="C46" s="9">
        <f>'Segmental forecast'!C11</f>
        <v>4800</v>
      </c>
      <c r="D46" s="9">
        <f>'Segmental forecast'!D11</f>
        <v>5100</v>
      </c>
      <c r="E46" s="9">
        <f>'Segmental forecast'!E11</f>
        <v>5200</v>
      </c>
      <c r="F46" s="9">
        <f>'Segmental forecast'!F11</f>
        <v>5400</v>
      </c>
      <c r="G46" s="9">
        <f>'Segmental forecast'!G11</f>
        <v>3000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x14ac:dyDescent="0.3">
      <c r="A47" t="s">
        <v>131</v>
      </c>
      <c r="B47" s="60">
        <f>'Segmental forecast'!B8</f>
        <v>1500</v>
      </c>
      <c r="C47" s="60">
        <f>'Segmental forecast'!C8</f>
        <v>1600</v>
      </c>
      <c r="D47" s="60">
        <f>'Segmental forecast'!D8</f>
        <v>1700</v>
      </c>
      <c r="E47" s="60">
        <f>'Segmental forecast'!E8</f>
        <v>1800</v>
      </c>
      <c r="F47" s="60">
        <f>'Segmental forecast'!F8</f>
        <v>1850</v>
      </c>
      <c r="G47" s="60">
        <f>'Segmental forecast'!G8</f>
        <v>1750</v>
      </c>
      <c r="H47" s="60">
        <f>'Segmental forecast'!H8</f>
        <v>1900</v>
      </c>
      <c r="I47" s="60">
        <f>'Segmental forecast'!I8</f>
        <v>2000</v>
      </c>
      <c r="J47" s="60"/>
      <c r="K47" s="60"/>
      <c r="L47" s="60"/>
      <c r="M47" s="60"/>
      <c r="N47" s="60"/>
    </row>
    <row r="48" spans="1:14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</row>
    <row r="49" spans="1:14" x14ac:dyDescent="0.3">
      <c r="A49" s="1" t="s">
        <v>177</v>
      </c>
      <c r="B49" s="9">
        <f>B46*(1-B13)</f>
        <v>-58199.955150246678</v>
      </c>
      <c r="C49" s="9">
        <f t="shared" ref="C49:I49" si="9">C46*(1-C13)</f>
        <v>-52909.668431317921</v>
      </c>
      <c r="D49" s="9">
        <f t="shared" si="9"/>
        <v>-40342.758620689659</v>
      </c>
      <c r="E49" s="9">
        <f t="shared" si="9"/>
        <v>-163273.52024922118</v>
      </c>
      <c r="F49" s="9">
        <f t="shared" si="9"/>
        <v>-45395.662239551602</v>
      </c>
      <c r="G49" s="9">
        <f t="shared" si="9"/>
        <v>-13332.916145181478</v>
      </c>
      <c r="H49" s="9">
        <f t="shared" si="9"/>
        <v>-90150.742681279095</v>
      </c>
      <c r="I49" s="9">
        <f t="shared" si="9"/>
        <v>-55508.757179371525</v>
      </c>
      <c r="J49" s="9"/>
      <c r="K49" s="9"/>
      <c r="L49" s="9"/>
      <c r="M49" s="9"/>
      <c r="N49" s="9"/>
    </row>
    <row r="50" spans="1:14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3">
      <c r="A51" t="s">
        <v>179</v>
      </c>
      <c r="B51" s="3">
        <f>Historicals!B72+Historicals!B73+Historicals!B74-Historicals!B75</f>
        <v>-2218</v>
      </c>
      <c r="C51" s="3">
        <f>Historicals!C72+Historicals!C73+Historicals!C74-Historicals!C75</f>
        <v>-105</v>
      </c>
      <c r="D51" s="3">
        <f>Historicals!D72+Historicals!D73+Historicals!D74-Historicals!D75</f>
        <v>-619</v>
      </c>
      <c r="E51" s="3">
        <f>Historicals!E72+Historicals!E73+Historicals!E74-Historicals!E75</f>
        <v>-1548</v>
      </c>
      <c r="F51" s="3">
        <f>Historicals!F72+Historicals!F73+Historicals!F74-Historicals!F75</f>
        <v>-2488</v>
      </c>
      <c r="G51" s="3">
        <f>Historicals!G72+Historicals!G73+Historicals!G74-Historicals!G75</f>
        <v>-1293</v>
      </c>
      <c r="H51" s="3">
        <f>Historicals!H72+Historicals!H73+Historicals!H74-Historicals!H75</f>
        <v>-2607</v>
      </c>
      <c r="I51" s="3">
        <f>Historicals!I72+Historicals!I73+Historicals!I74-Historicals!I75</f>
        <v>-4390</v>
      </c>
      <c r="J51" s="3"/>
      <c r="K51" s="3"/>
      <c r="L51" s="3"/>
      <c r="M51" s="3"/>
      <c r="N51" s="3"/>
    </row>
    <row r="52" spans="1:14" x14ac:dyDescent="0.3">
      <c r="A52" t="s">
        <v>134</v>
      </c>
      <c r="B52" s="3">
        <f>'Segmental forecast'!B14</f>
        <v>1200</v>
      </c>
      <c r="C52" s="3">
        <f>'Segmental forecast'!C14</f>
        <v>1300</v>
      </c>
      <c r="D52" s="3">
        <f>'Segmental forecast'!D14</f>
        <v>1350</v>
      </c>
      <c r="E52" s="3">
        <f>'Segmental forecast'!E14</f>
        <v>1400</v>
      </c>
      <c r="F52" s="3">
        <f>'Segmental forecast'!F14</f>
        <v>1500</v>
      </c>
      <c r="G52" s="3">
        <f>'Segmental forecast'!G14</f>
        <v>1000</v>
      </c>
      <c r="H52" s="3">
        <f>'Segmental forecast'!H14</f>
        <v>1600</v>
      </c>
      <c r="I52" s="3">
        <f>'Segmental forecast'!I14</f>
        <v>1700</v>
      </c>
      <c r="J52" s="3"/>
      <c r="K52" s="3"/>
      <c r="L52" s="3"/>
      <c r="M52" s="3"/>
      <c r="N52" s="3"/>
    </row>
    <row r="53" spans="1:14" x14ac:dyDescent="0.3">
      <c r="A53" s="1" t="s">
        <v>180</v>
      </c>
      <c r="B53" s="9">
        <f>B46-B52</f>
        <v>3300</v>
      </c>
      <c r="C53" s="9">
        <f t="shared" ref="C53:I53" si="10">C46-C52</f>
        <v>3500</v>
      </c>
      <c r="D53" s="9">
        <f t="shared" si="10"/>
        <v>3750</v>
      </c>
      <c r="E53" s="9">
        <f t="shared" si="10"/>
        <v>3800</v>
      </c>
      <c r="F53" s="9">
        <f t="shared" si="10"/>
        <v>3900</v>
      </c>
      <c r="G53" s="9">
        <f t="shared" si="10"/>
        <v>2000</v>
      </c>
      <c r="H53" s="9">
        <f t="shared" si="10"/>
        <v>5323</v>
      </c>
      <c r="I53" s="9">
        <f t="shared" si="10"/>
        <v>5156</v>
      </c>
      <c r="J53" s="9"/>
      <c r="K53" s="9"/>
      <c r="L53" s="9"/>
      <c r="M53" s="9"/>
      <c r="N53" s="9"/>
    </row>
    <row r="54" spans="1:14" x14ac:dyDescent="0.3">
      <c r="A54" t="s">
        <v>181</v>
      </c>
      <c r="B54" s="3">
        <f>Historicals!B76-Historicals!B66-Historicals!B67-Historicals!B68-Historicals!B69-Historicals!B70</f>
        <v>256</v>
      </c>
      <c r="C54" s="3">
        <f>Historicals!C76-Historicals!C66-Historicals!C67-Historicals!C68-Historicals!C69-Historicals!C70</f>
        <v>2483</v>
      </c>
      <c r="D54" s="3">
        <f>Historicals!D76-Historicals!D66-Historicals!D67-Historicals!D68-Historicals!D69-Historicals!D70</f>
        <v>3305</v>
      </c>
      <c r="E54" s="3">
        <f>Historicals!E76-Historicals!E66-Historicals!E67-Historicals!E68-Historicals!E69-Historicals!E70</f>
        <v>3415</v>
      </c>
      <c r="F54" s="3">
        <f>Historicals!F76-Historicals!F66-Historicals!F67-Historicals!F68-Historicals!F69-Historicals!F70</f>
        <v>4591</v>
      </c>
      <c r="G54" s="3">
        <f>Historicals!G76-Historicals!G66-Historicals!G67-Historicals!G68-Historicals!G69-Historicals!G70</f>
        <v>1294</v>
      </c>
      <c r="H54" s="3">
        <f>Historicals!H76-Historicals!H66-Historicals!H67-Historicals!H68-Historicals!H69-Historicals!H70</f>
        <v>5772</v>
      </c>
      <c r="I54" s="3">
        <f>Historicals!I76-Historicals!I66-Historicals!I67-Historicals!I68-Historicals!I69-Historicals!I70</f>
        <v>4386</v>
      </c>
      <c r="J54" s="3"/>
      <c r="K54" s="3"/>
      <c r="L54" s="3"/>
      <c r="M54" s="3"/>
      <c r="N54" s="3"/>
    </row>
    <row r="55" spans="1:14" x14ac:dyDescent="0.3">
      <c r="A55" s="27" t="s">
        <v>182</v>
      </c>
      <c r="B55" s="26">
        <f>B53+B52-B50-B51+B54</f>
        <v>6921</v>
      </c>
      <c r="C55" s="26">
        <f t="shared" ref="C55:I55" si="11">C53+C52-C50-C51+C54</f>
        <v>7318</v>
      </c>
      <c r="D55" s="26">
        <f t="shared" si="11"/>
        <v>8926</v>
      </c>
      <c r="E55" s="26">
        <f t="shared" si="11"/>
        <v>10038</v>
      </c>
      <c r="F55" s="26">
        <f t="shared" si="11"/>
        <v>12326</v>
      </c>
      <c r="G55" s="26">
        <f t="shared" si="11"/>
        <v>5447</v>
      </c>
      <c r="H55" s="26">
        <f t="shared" si="11"/>
        <v>15009</v>
      </c>
      <c r="I55" s="26">
        <f t="shared" si="11"/>
        <v>15342</v>
      </c>
      <c r="J55" s="26"/>
      <c r="K55" s="26"/>
      <c r="L55" s="26"/>
      <c r="M55" s="26"/>
      <c r="N55" s="26"/>
    </row>
    <row r="56" spans="1:14" x14ac:dyDescent="0.3">
      <c r="A56" s="72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4" x14ac:dyDescent="0.3">
      <c r="A57" t="s">
        <v>184</v>
      </c>
      <c r="B57" s="3"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3">
      <c r="A58" s="73" t="s">
        <v>185</v>
      </c>
      <c r="B58" s="26">
        <f>SUM(B56:B57)</f>
        <v>0</v>
      </c>
      <c r="C58" s="26">
        <f t="shared" ref="C58:I58" si="12">SUM(C56:C57)</f>
        <v>6</v>
      </c>
      <c r="D58" s="26">
        <f t="shared" si="12"/>
        <v>-34</v>
      </c>
      <c r="E58" s="26">
        <f t="shared" si="12"/>
        <v>-22</v>
      </c>
      <c r="F58" s="26">
        <f t="shared" si="12"/>
        <v>5</v>
      </c>
      <c r="G58" s="26">
        <f t="shared" si="12"/>
        <v>31</v>
      </c>
      <c r="H58" s="26">
        <f t="shared" si="12"/>
        <v>171</v>
      </c>
      <c r="I58" s="26">
        <f t="shared" si="12"/>
        <v>-19</v>
      </c>
      <c r="J58" s="26"/>
      <c r="K58" s="26"/>
      <c r="L58" s="26"/>
      <c r="M58" s="26"/>
      <c r="N58" s="26"/>
    </row>
    <row r="59" spans="1:14" x14ac:dyDescent="0.3">
      <c r="A59" t="s">
        <v>186</v>
      </c>
      <c r="B59" s="3">
        <f>Historicals!B88-Historicals!B89</f>
        <v>3048</v>
      </c>
      <c r="C59" s="3">
        <f>Historicals!C88-Historicals!C89</f>
        <v>3745</v>
      </c>
      <c r="D59" s="3">
        <f>Historicals!D88-Historicals!D89</f>
        <v>3223</v>
      </c>
      <c r="E59" s="3">
        <f>Historicals!E88-Historicals!E89</f>
        <v>4987</v>
      </c>
      <c r="F59" s="3">
        <f>Historicals!F88-Historicals!F89</f>
        <v>4986</v>
      </c>
      <c r="G59" s="3">
        <f>Historicals!G88-Historicals!G89</f>
        <v>3952</v>
      </c>
      <c r="H59" s="3">
        <f>Historicals!H88-Historicals!H89</f>
        <v>1780</v>
      </c>
      <c r="I59" s="3">
        <f>Historicals!I88-Historicals!I89</f>
        <v>5165</v>
      </c>
      <c r="J59" s="3"/>
      <c r="K59" s="3"/>
      <c r="L59" s="61"/>
      <c r="M59" s="3"/>
      <c r="N59" s="3"/>
    </row>
    <row r="60" spans="1:14" x14ac:dyDescent="0.3">
      <c r="A60" s="51" t="s">
        <v>128</v>
      </c>
      <c r="B60" s="57">
        <f>B59-C59/C59*100</f>
        <v>2948</v>
      </c>
      <c r="C60" s="57">
        <f t="shared" ref="C60:I60" si="13">C59-D59/D59*100</f>
        <v>3645</v>
      </c>
      <c r="D60" s="57">
        <f t="shared" si="13"/>
        <v>3123</v>
      </c>
      <c r="E60" s="57">
        <f t="shared" si="13"/>
        <v>4887</v>
      </c>
      <c r="F60" s="57">
        <f t="shared" si="13"/>
        <v>4886</v>
      </c>
      <c r="G60" s="57">
        <f t="shared" si="13"/>
        <v>3852</v>
      </c>
      <c r="H60" s="57">
        <f t="shared" si="13"/>
        <v>1680</v>
      </c>
      <c r="I60" s="57" t="e">
        <f t="shared" si="13"/>
        <v>#DIV/0!</v>
      </c>
      <c r="J60" s="57"/>
      <c r="K60" s="57"/>
      <c r="L60" s="57"/>
      <c r="M60" s="58"/>
      <c r="N60" s="58"/>
    </row>
    <row r="61" spans="1:14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3">
      <c r="A62" t="s">
        <v>188</v>
      </c>
      <c r="B62" s="3">
        <v>0</v>
      </c>
      <c r="C62" s="3">
        <f>Historicals!C85</f>
        <v>981</v>
      </c>
      <c r="D62" s="3">
        <f>Historicals!D85</f>
        <v>1482</v>
      </c>
      <c r="E62" s="3">
        <v>0</v>
      </c>
      <c r="F62" s="3">
        <v>0</v>
      </c>
      <c r="G62" s="3">
        <v>0</v>
      </c>
      <c r="H62" s="3">
        <v>0</v>
      </c>
      <c r="I62" s="3">
        <f>Historicals!I85</f>
        <v>0</v>
      </c>
      <c r="J62" s="3"/>
      <c r="K62" s="3"/>
      <c r="L62" s="3"/>
      <c r="M62" s="3"/>
      <c r="N62" s="3"/>
    </row>
    <row r="63" spans="1:14" x14ac:dyDescent="0.3">
      <c r="A63" t="s">
        <v>189</v>
      </c>
      <c r="B63" s="3"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4" x14ac:dyDescent="0.3">
      <c r="A64" s="27" t="s">
        <v>190</v>
      </c>
      <c r="B64" s="26">
        <f>B59+B61+B62+B63</f>
        <v>2149</v>
      </c>
      <c r="C64" s="26">
        <f t="shared" ref="C64:I64" si="14">C59+C61+C62+C63</f>
        <v>3704</v>
      </c>
      <c r="D64" s="26">
        <f t="shared" si="14"/>
        <v>3572</v>
      </c>
      <c r="E64" s="26">
        <f t="shared" si="14"/>
        <v>3660</v>
      </c>
      <c r="F64" s="26">
        <f t="shared" si="14"/>
        <v>3604</v>
      </c>
      <c r="G64" s="26">
        <f t="shared" si="14"/>
        <v>2442</v>
      </c>
      <c r="H64" s="26">
        <f t="shared" si="14"/>
        <v>6</v>
      </c>
      <c r="I64" s="26">
        <f t="shared" si="14"/>
        <v>3177</v>
      </c>
      <c r="J64" s="26"/>
      <c r="K64" s="26"/>
      <c r="L64" s="26"/>
      <c r="M64" s="26"/>
      <c r="N64" s="26"/>
    </row>
    <row r="65" spans="1:14" x14ac:dyDescent="0.3">
      <c r="A65" s="72" t="s">
        <v>191</v>
      </c>
      <c r="B65" s="3">
        <f>Historicals!B69+Historicals!B70</f>
        <v>467</v>
      </c>
      <c r="C65" s="3">
        <f>Historicals!C69+Historicals!C70</f>
        <v>111</v>
      </c>
      <c r="D65" s="3">
        <f>Historicals!D69+Historicals!D70</f>
        <v>-107</v>
      </c>
      <c r="E65" s="3">
        <f>Historicals!E69+Historicals!E70</f>
        <v>-72</v>
      </c>
      <c r="F65" s="3">
        <f>Historicals!F69+Historicals!F70</f>
        <v>248</v>
      </c>
      <c r="G65" s="3">
        <f>Historicals!G69+Historicals!G70</f>
        <v>421</v>
      </c>
      <c r="H65" s="3">
        <f>Historicals!H69+Historicals!H70</f>
        <v>-85</v>
      </c>
      <c r="I65" s="3">
        <f>Historicals!I69+Historicals!I70</f>
        <v>97</v>
      </c>
      <c r="J65" s="3"/>
      <c r="K65" s="3"/>
      <c r="L65" s="3"/>
      <c r="M65" s="3"/>
      <c r="N65" s="3"/>
    </row>
    <row r="66" spans="1:14" x14ac:dyDescent="0.3">
      <c r="A66" s="27" t="s">
        <v>192</v>
      </c>
      <c r="B66" s="26">
        <f>B68-B67</f>
        <v>1632</v>
      </c>
      <c r="C66" s="26">
        <f t="shared" ref="C66:I66" si="15">C68-C67</f>
        <v>-714</v>
      </c>
      <c r="D66" s="26">
        <f t="shared" si="15"/>
        <v>670</v>
      </c>
      <c r="E66" s="26">
        <f t="shared" si="15"/>
        <v>441</v>
      </c>
      <c r="F66" s="26">
        <f t="shared" si="15"/>
        <v>217</v>
      </c>
      <c r="G66" s="26">
        <f t="shared" si="15"/>
        <v>3882</v>
      </c>
      <c r="H66" s="26">
        <f t="shared" si="15"/>
        <v>1541</v>
      </c>
      <c r="I66" s="26">
        <f t="shared" si="15"/>
        <v>-1315</v>
      </c>
      <c r="J66" s="26"/>
      <c r="K66" s="26"/>
      <c r="L66" s="26"/>
      <c r="M66" s="26"/>
      <c r="N66" s="26"/>
    </row>
    <row r="67" spans="1:14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195</v>
      </c>
      <c r="B69" s="48">
        <f>B32+B33-B21</f>
        <v>-3671</v>
      </c>
      <c r="C69" s="48">
        <f t="shared" ref="C69:I69" si="16">C32+C33-C21</f>
        <v>-3093</v>
      </c>
      <c r="D69" s="48">
        <f t="shared" si="16"/>
        <v>-3477</v>
      </c>
      <c r="E69" s="48">
        <f t="shared" si="16"/>
        <v>-3907</v>
      </c>
      <c r="F69" s="48">
        <f t="shared" si="16"/>
        <v>-4451</v>
      </c>
      <c r="G69" s="48">
        <f t="shared" si="16"/>
        <v>-8097</v>
      </c>
      <c r="H69" s="48">
        <f t="shared" si="16"/>
        <v>-9887</v>
      </c>
      <c r="I69" s="48">
        <f t="shared" si="16"/>
        <v>-8064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2020-05-20T17:26:08Z</dcterms:created>
  <dcterms:modified xsi:type="dcterms:W3CDTF">2024-11-17T10:54:50Z</dcterms:modified>
</cp:coreProperties>
</file>